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ripnikov.A\Desktop\В работе\Окна ЛФК\"/>
    </mc:Choice>
  </mc:AlternateContent>
  <bookViews>
    <workbookView xWindow="0" yWindow="0" windowWidth="23040" windowHeight="8670"/>
  </bookViews>
  <sheets>
    <sheet name="Смета 12 гр. по ФЕР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по ФЕР'!$40:$40</definedName>
    <definedName name="_xlnm.Print_Area" localSheetId="0">'Смета 12 гр. по ФЕР'!$A$1:$L$248</definedName>
  </definedNames>
  <calcPr calcId="162913" iterateDelta="1E-4"/>
</workbook>
</file>

<file path=xl/calcChain.xml><?xml version="1.0" encoding="utf-8"?>
<calcChain xmlns="http://schemas.openxmlformats.org/spreadsheetml/2006/main">
  <c r="B15" i="5" l="1"/>
  <c r="AD19" i="5"/>
  <c r="I246" i="5"/>
  <c r="I243" i="5"/>
  <c r="I240" i="5"/>
  <c r="D246" i="5"/>
  <c r="D243" i="5"/>
  <c r="D240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19" i="5"/>
  <c r="C218" i="5"/>
  <c r="Z213" i="5"/>
  <c r="Y213" i="5"/>
  <c r="X213" i="5"/>
  <c r="J212" i="5"/>
  <c r="G212" i="5"/>
  <c r="F212" i="5"/>
  <c r="D212" i="5"/>
  <c r="I212" i="5"/>
  <c r="C212" i="5"/>
  <c r="B212" i="5"/>
  <c r="A212" i="5"/>
  <c r="Z211" i="5"/>
  <c r="Y211" i="5"/>
  <c r="X211" i="5"/>
  <c r="J210" i="5"/>
  <c r="G210" i="5"/>
  <c r="F210" i="5"/>
  <c r="D210" i="5"/>
  <c r="I210" i="5"/>
  <c r="C210" i="5"/>
  <c r="B210" i="5"/>
  <c r="A210" i="5"/>
  <c r="A209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Z191" i="5"/>
  <c r="Y191" i="5"/>
  <c r="X191" i="5"/>
  <c r="J190" i="5"/>
  <c r="Z190" i="5"/>
  <c r="Y190" i="5"/>
  <c r="X190" i="5"/>
  <c r="F190" i="5"/>
  <c r="D190" i="5"/>
  <c r="C190" i="5"/>
  <c r="B190" i="5"/>
  <c r="A190" i="5"/>
  <c r="G189" i="5"/>
  <c r="E189" i="5"/>
  <c r="J188" i="5"/>
  <c r="F188" i="5"/>
  <c r="E188" i="5"/>
  <c r="J187" i="5"/>
  <c r="F187" i="5"/>
  <c r="E187" i="5"/>
  <c r="J186" i="5"/>
  <c r="G186" i="5"/>
  <c r="F186" i="5"/>
  <c r="J185" i="5"/>
  <c r="G185" i="5"/>
  <c r="F185" i="5"/>
  <c r="J184" i="5"/>
  <c r="G184" i="5"/>
  <c r="F184" i="5"/>
  <c r="F183" i="5"/>
  <c r="D183" i="5"/>
  <c r="I183" i="5"/>
  <c r="C183" i="5"/>
  <c r="A183" i="5"/>
  <c r="Z182" i="5"/>
  <c r="Y182" i="5"/>
  <c r="X182" i="5"/>
  <c r="J181" i="5"/>
  <c r="Z181" i="5"/>
  <c r="Y181" i="5"/>
  <c r="X181" i="5"/>
  <c r="F181" i="5"/>
  <c r="D181" i="5"/>
  <c r="C181" i="5"/>
  <c r="B181" i="5"/>
  <c r="A181" i="5"/>
  <c r="J180" i="5"/>
  <c r="Z180" i="5"/>
  <c r="Y180" i="5"/>
  <c r="X180" i="5"/>
  <c r="F180" i="5"/>
  <c r="D180" i="5"/>
  <c r="C180" i="5"/>
  <c r="B180" i="5"/>
  <c r="A180" i="5"/>
  <c r="G179" i="5"/>
  <c r="E179" i="5"/>
  <c r="J178" i="5"/>
  <c r="F178" i="5"/>
  <c r="E178" i="5"/>
  <c r="J177" i="5"/>
  <c r="F177" i="5"/>
  <c r="E177" i="5"/>
  <c r="J176" i="5"/>
  <c r="G176" i="5"/>
  <c r="F176" i="5"/>
  <c r="J175" i="5"/>
  <c r="G175" i="5"/>
  <c r="F175" i="5"/>
  <c r="J174" i="5"/>
  <c r="G174" i="5"/>
  <c r="F174" i="5"/>
  <c r="J173" i="5"/>
  <c r="G173" i="5"/>
  <c r="F173" i="5"/>
  <c r="F172" i="5"/>
  <c r="D172" i="5"/>
  <c r="I172" i="5"/>
  <c r="C172" i="5"/>
  <c r="A172" i="5"/>
  <c r="Z171" i="5"/>
  <c r="Y171" i="5"/>
  <c r="X171" i="5"/>
  <c r="J170" i="5"/>
  <c r="Z170" i="5"/>
  <c r="Y170" i="5"/>
  <c r="X170" i="5"/>
  <c r="F170" i="5"/>
  <c r="D170" i="5"/>
  <c r="C170" i="5"/>
  <c r="B170" i="5"/>
  <c r="A170" i="5"/>
  <c r="G169" i="5"/>
  <c r="E169" i="5"/>
  <c r="J168" i="5"/>
  <c r="F168" i="5"/>
  <c r="E168" i="5"/>
  <c r="J167" i="5"/>
  <c r="F167" i="5"/>
  <c r="E167" i="5"/>
  <c r="J166" i="5"/>
  <c r="G166" i="5"/>
  <c r="F166" i="5"/>
  <c r="J165" i="5"/>
  <c r="G165" i="5"/>
  <c r="F165" i="5"/>
  <c r="J164" i="5"/>
  <c r="G164" i="5"/>
  <c r="F164" i="5"/>
  <c r="J163" i="5"/>
  <c r="G163" i="5"/>
  <c r="F163" i="5"/>
  <c r="F161" i="5"/>
  <c r="D161" i="5"/>
  <c r="I161" i="5"/>
  <c r="C161" i="5"/>
  <c r="A161" i="5"/>
  <c r="Z160" i="5"/>
  <c r="Y160" i="5"/>
  <c r="X160" i="5"/>
  <c r="J159" i="5"/>
  <c r="Z159" i="5"/>
  <c r="Y159" i="5"/>
  <c r="X159" i="5"/>
  <c r="F159" i="5"/>
  <c r="D159" i="5"/>
  <c r="C159" i="5"/>
  <c r="B159" i="5"/>
  <c r="A159" i="5"/>
  <c r="J158" i="5"/>
  <c r="Z158" i="5"/>
  <c r="Y158" i="5"/>
  <c r="X158" i="5"/>
  <c r="F158" i="5"/>
  <c r="D158" i="5"/>
  <c r="C158" i="5"/>
  <c r="B158" i="5"/>
  <c r="A158" i="5"/>
  <c r="J157" i="5"/>
  <c r="Z157" i="5"/>
  <c r="Y157" i="5"/>
  <c r="X157" i="5"/>
  <c r="F157" i="5"/>
  <c r="D157" i="5"/>
  <c r="C157" i="5"/>
  <c r="B157" i="5"/>
  <c r="A157" i="5"/>
  <c r="G156" i="5"/>
  <c r="E156" i="5"/>
  <c r="J155" i="5"/>
  <c r="F155" i="5"/>
  <c r="E155" i="5"/>
  <c r="J154" i="5"/>
  <c r="F154" i="5"/>
  <c r="E154" i="5"/>
  <c r="J153" i="5"/>
  <c r="G153" i="5"/>
  <c r="F153" i="5"/>
  <c r="J152" i="5"/>
  <c r="G152" i="5"/>
  <c r="F152" i="5"/>
  <c r="J151" i="5"/>
  <c r="G151" i="5"/>
  <c r="F151" i="5"/>
  <c r="J150" i="5"/>
  <c r="G150" i="5"/>
  <c r="F150" i="5"/>
  <c r="F148" i="5"/>
  <c r="D148" i="5"/>
  <c r="I148" i="5"/>
  <c r="C148" i="5"/>
  <c r="A148" i="5"/>
  <c r="Z147" i="5"/>
  <c r="Y147" i="5"/>
  <c r="X147" i="5"/>
  <c r="J146" i="5"/>
  <c r="Z146" i="5"/>
  <c r="Y146" i="5"/>
  <c r="X146" i="5"/>
  <c r="F146" i="5"/>
  <c r="D146" i="5"/>
  <c r="C146" i="5"/>
  <c r="B146" i="5"/>
  <c r="A146" i="5"/>
  <c r="J145" i="5"/>
  <c r="Z145" i="5"/>
  <c r="Y145" i="5"/>
  <c r="X145" i="5"/>
  <c r="F145" i="5"/>
  <c r="D145" i="5"/>
  <c r="C145" i="5"/>
  <c r="B145" i="5"/>
  <c r="A145" i="5"/>
  <c r="G144" i="5"/>
  <c r="E144" i="5"/>
  <c r="J143" i="5"/>
  <c r="F143" i="5"/>
  <c r="E143" i="5"/>
  <c r="J142" i="5"/>
  <c r="F142" i="5"/>
  <c r="E142" i="5"/>
  <c r="J141" i="5"/>
  <c r="G141" i="5"/>
  <c r="F141" i="5"/>
  <c r="J140" i="5"/>
  <c r="G140" i="5"/>
  <c r="F140" i="5"/>
  <c r="J139" i="5"/>
  <c r="G139" i="5"/>
  <c r="F139" i="5"/>
  <c r="J138" i="5"/>
  <c r="G138" i="5"/>
  <c r="F138" i="5"/>
  <c r="F136" i="5"/>
  <c r="D136" i="5"/>
  <c r="I136" i="5"/>
  <c r="C136" i="5"/>
  <c r="A136" i="5"/>
  <c r="Z135" i="5"/>
  <c r="Y135" i="5"/>
  <c r="X135" i="5"/>
  <c r="J134" i="5"/>
  <c r="G134" i="5"/>
  <c r="F134" i="5"/>
  <c r="D134" i="5"/>
  <c r="I134" i="5"/>
  <c r="B134" i="5"/>
  <c r="A134" i="5"/>
  <c r="Z133" i="5"/>
  <c r="Y133" i="5"/>
  <c r="X133" i="5"/>
  <c r="G132" i="5"/>
  <c r="E132" i="5"/>
  <c r="J131" i="5"/>
  <c r="F131" i="5"/>
  <c r="E131" i="5"/>
  <c r="J130" i="5"/>
  <c r="F130" i="5"/>
  <c r="E130" i="5"/>
  <c r="J129" i="5"/>
  <c r="G129" i="5"/>
  <c r="F129" i="5"/>
  <c r="J128" i="5"/>
  <c r="G128" i="5"/>
  <c r="F128" i="5"/>
  <c r="J127" i="5"/>
  <c r="G127" i="5"/>
  <c r="F127" i="5"/>
  <c r="J126" i="5"/>
  <c r="G126" i="5"/>
  <c r="F126" i="5"/>
  <c r="F124" i="5"/>
  <c r="D124" i="5"/>
  <c r="I124" i="5"/>
  <c r="C124" i="5"/>
  <c r="A124" i="5"/>
  <c r="Z123" i="5"/>
  <c r="Y123" i="5"/>
  <c r="X123" i="5"/>
  <c r="J122" i="5"/>
  <c r="Z122" i="5"/>
  <c r="Y122" i="5"/>
  <c r="X122" i="5"/>
  <c r="F122" i="5"/>
  <c r="D122" i="5"/>
  <c r="C122" i="5"/>
  <c r="B122" i="5"/>
  <c r="A122" i="5"/>
  <c r="J121" i="5"/>
  <c r="Z121" i="5"/>
  <c r="Y121" i="5"/>
  <c r="X121" i="5"/>
  <c r="F121" i="5"/>
  <c r="D121" i="5"/>
  <c r="C121" i="5"/>
  <c r="B121" i="5"/>
  <c r="A121" i="5"/>
  <c r="G120" i="5"/>
  <c r="E120" i="5"/>
  <c r="J119" i="5"/>
  <c r="E119" i="5"/>
  <c r="J118" i="5"/>
  <c r="E118" i="5"/>
  <c r="J117" i="5"/>
  <c r="G117" i="5"/>
  <c r="F117" i="5"/>
  <c r="J116" i="5"/>
  <c r="G116" i="5"/>
  <c r="F116" i="5"/>
  <c r="J115" i="5"/>
  <c r="G115" i="5"/>
  <c r="F115" i="5"/>
  <c r="J114" i="5"/>
  <c r="G114" i="5"/>
  <c r="F114" i="5"/>
  <c r="F112" i="5"/>
  <c r="D112" i="5"/>
  <c r="I112" i="5"/>
  <c r="C112" i="5"/>
  <c r="B112" i="5"/>
  <c r="A112" i="5"/>
  <c r="A111" i="5"/>
  <c r="C109" i="5"/>
  <c r="C108" i="5"/>
  <c r="C107" i="5"/>
  <c r="C106" i="5"/>
  <c r="C105" i="5"/>
  <c r="C104" i="5"/>
  <c r="C103" i="5"/>
  <c r="C102" i="5"/>
  <c r="C101" i="5"/>
  <c r="C100" i="5"/>
  <c r="Z95" i="5"/>
  <c r="Y95" i="5"/>
  <c r="X95" i="5"/>
  <c r="J94" i="5"/>
  <c r="Z94" i="5"/>
  <c r="Y94" i="5"/>
  <c r="X94" i="5"/>
  <c r="F94" i="5"/>
  <c r="E94" i="5"/>
  <c r="D94" i="5"/>
  <c r="C94" i="5"/>
  <c r="B94" i="5"/>
  <c r="A94" i="5"/>
  <c r="G93" i="5"/>
  <c r="E93" i="5"/>
  <c r="J92" i="5"/>
  <c r="E92" i="5"/>
  <c r="J91" i="5"/>
  <c r="E91" i="5"/>
  <c r="J90" i="5"/>
  <c r="G90" i="5"/>
  <c r="F90" i="5"/>
  <c r="J89" i="5"/>
  <c r="H89" i="5"/>
  <c r="R89" i="5" s="1"/>
  <c r="G89" i="5"/>
  <c r="F89" i="5"/>
  <c r="S87" i="5"/>
  <c r="F87" i="5"/>
  <c r="D87" i="5"/>
  <c r="I87" i="5"/>
  <c r="C87" i="5"/>
  <c r="B87" i="5"/>
  <c r="A87" i="5"/>
  <c r="Z86" i="5"/>
  <c r="Y86" i="5"/>
  <c r="X86" i="5"/>
  <c r="J85" i="5"/>
  <c r="Z85" i="5"/>
  <c r="Y85" i="5"/>
  <c r="X85" i="5"/>
  <c r="H85" i="5"/>
  <c r="W85" i="5" s="1"/>
  <c r="F85" i="5"/>
  <c r="D85" i="5"/>
  <c r="C85" i="5"/>
  <c r="B85" i="5"/>
  <c r="A85" i="5"/>
  <c r="G84" i="5"/>
  <c r="E84" i="5"/>
  <c r="J83" i="5"/>
  <c r="E83" i="5"/>
  <c r="J82" i="5"/>
  <c r="E82" i="5"/>
  <c r="J81" i="5"/>
  <c r="G81" i="5"/>
  <c r="F81" i="5"/>
  <c r="U79" i="5"/>
  <c r="F79" i="5"/>
  <c r="D79" i="5"/>
  <c r="I79" i="5"/>
  <c r="C79" i="5"/>
  <c r="B79" i="5"/>
  <c r="A79" i="5"/>
  <c r="Z78" i="5"/>
  <c r="Y78" i="5"/>
  <c r="X78" i="5"/>
  <c r="J77" i="5"/>
  <c r="Z77" i="5"/>
  <c r="Y77" i="5"/>
  <c r="X77" i="5"/>
  <c r="F77" i="5"/>
  <c r="D77" i="5"/>
  <c r="C77" i="5"/>
  <c r="B77" i="5"/>
  <c r="A77" i="5"/>
  <c r="G76" i="5"/>
  <c r="E76" i="5"/>
  <c r="J75" i="5"/>
  <c r="E75" i="5"/>
  <c r="J74" i="5"/>
  <c r="E74" i="5"/>
  <c r="J73" i="5"/>
  <c r="H73" i="5"/>
  <c r="R73" i="5" s="1"/>
  <c r="G73" i="5"/>
  <c r="F73" i="5"/>
  <c r="F71" i="5"/>
  <c r="D71" i="5"/>
  <c r="I71" i="5"/>
  <c r="C71" i="5"/>
  <c r="B71" i="5"/>
  <c r="A71" i="5"/>
  <c r="Z70" i="5"/>
  <c r="Y70" i="5"/>
  <c r="X70" i="5"/>
  <c r="J69" i="5"/>
  <c r="Z69" i="5"/>
  <c r="Y69" i="5"/>
  <c r="X69" i="5"/>
  <c r="F69" i="5"/>
  <c r="D69" i="5"/>
  <c r="C69" i="5"/>
  <c r="B69" i="5"/>
  <c r="A69" i="5"/>
  <c r="G68" i="5"/>
  <c r="E68" i="5"/>
  <c r="J67" i="5"/>
  <c r="E67" i="5"/>
  <c r="J66" i="5"/>
  <c r="E66" i="5"/>
  <c r="J65" i="5"/>
  <c r="G65" i="5"/>
  <c r="F65" i="5"/>
  <c r="J64" i="5"/>
  <c r="G64" i="5"/>
  <c r="F64" i="5"/>
  <c r="J63" i="5"/>
  <c r="H63" i="5"/>
  <c r="G63" i="5"/>
  <c r="F63" i="5"/>
  <c r="F61" i="5"/>
  <c r="D61" i="5"/>
  <c r="I61" i="5"/>
  <c r="C61" i="5"/>
  <c r="B61" i="5"/>
  <c r="A61" i="5"/>
  <c r="Z60" i="5"/>
  <c r="Y60" i="5"/>
  <c r="X60" i="5"/>
  <c r="J59" i="5"/>
  <c r="Z59" i="5"/>
  <c r="Y59" i="5"/>
  <c r="X59" i="5"/>
  <c r="F59" i="5"/>
  <c r="D59" i="5"/>
  <c r="C59" i="5"/>
  <c r="B59" i="5"/>
  <c r="A59" i="5"/>
  <c r="L58" i="5"/>
  <c r="G58" i="5"/>
  <c r="E58" i="5"/>
  <c r="J57" i="5"/>
  <c r="E57" i="5"/>
  <c r="J56" i="5"/>
  <c r="E56" i="5"/>
  <c r="J55" i="5"/>
  <c r="G55" i="5"/>
  <c r="F55" i="5"/>
  <c r="J54" i="5"/>
  <c r="G54" i="5"/>
  <c r="F54" i="5"/>
  <c r="J53" i="5"/>
  <c r="G53" i="5"/>
  <c r="F53" i="5"/>
  <c r="F51" i="5"/>
  <c r="E51" i="5"/>
  <c r="D51" i="5"/>
  <c r="I51" i="5"/>
  <c r="C51" i="5"/>
  <c r="B51" i="5"/>
  <c r="A51" i="5"/>
  <c r="Z50" i="5"/>
  <c r="Y50" i="5"/>
  <c r="X50" i="5"/>
  <c r="J49" i="5"/>
  <c r="Z49" i="5"/>
  <c r="Y49" i="5"/>
  <c r="X49" i="5"/>
  <c r="F49" i="5"/>
  <c r="D49" i="5"/>
  <c r="C49" i="5"/>
  <c r="B49" i="5"/>
  <c r="A49" i="5"/>
  <c r="G48" i="5"/>
  <c r="E48" i="5"/>
  <c r="J47" i="5"/>
  <c r="E47" i="5"/>
  <c r="J46" i="5"/>
  <c r="E46" i="5"/>
  <c r="J45" i="5"/>
  <c r="G45" i="5"/>
  <c r="F45" i="5"/>
  <c r="F43" i="5"/>
  <c r="D43" i="5"/>
  <c r="I43" i="5"/>
  <c r="C43" i="5"/>
  <c r="B43" i="5"/>
  <c r="A43" i="5"/>
  <c r="A42" i="5"/>
  <c r="B17" i="5"/>
  <c r="H13" i="5"/>
  <c r="H6" i="5"/>
  <c r="B6" i="5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1" i="3"/>
  <c r="CY1" i="3"/>
  <c r="CZ1" i="3"/>
  <c r="DB1" i="3" s="1"/>
  <c r="DA1" i="3"/>
  <c r="DC1" i="3"/>
  <c r="A2" i="3"/>
  <c r="CY2" i="3"/>
  <c r="CZ2" i="3"/>
  <c r="DB2" i="3" s="1"/>
  <c r="DA2" i="3"/>
  <c r="DC2" i="3"/>
  <c r="A3" i="3"/>
  <c r="CY3" i="3"/>
  <c r="CZ3" i="3"/>
  <c r="DB3" i="3" s="1"/>
  <c r="DA3" i="3"/>
  <c r="DC3" i="3"/>
  <c r="A4" i="3"/>
  <c r="CY4" i="3"/>
  <c r="CZ4" i="3"/>
  <c r="DB4" i="3" s="1"/>
  <c r="DA4" i="3"/>
  <c r="DC4" i="3"/>
  <c r="A5" i="3"/>
  <c r="CY5" i="3"/>
  <c r="CZ5" i="3"/>
  <c r="DA5" i="3"/>
  <c r="DB5" i="3"/>
  <c r="DC5" i="3"/>
  <c r="A6" i="3"/>
  <c r="CY6" i="3"/>
  <c r="CZ6" i="3"/>
  <c r="DB6" i="3" s="1"/>
  <c r="DA6" i="3"/>
  <c r="DC6" i="3"/>
  <c r="A7" i="3"/>
  <c r="CY7" i="3"/>
  <c r="CZ7" i="3"/>
  <c r="DB7" i="3" s="1"/>
  <c r="DA7" i="3"/>
  <c r="DC7" i="3"/>
  <c r="A8" i="3"/>
  <c r="CY8" i="3"/>
  <c r="CZ8" i="3"/>
  <c r="DA8" i="3"/>
  <c r="DB8" i="3"/>
  <c r="DC8" i="3"/>
  <c r="A9" i="3"/>
  <c r="CY9" i="3"/>
  <c r="CZ9" i="3"/>
  <c r="DB9" i="3" s="1"/>
  <c r="DA9" i="3"/>
  <c r="DC9" i="3"/>
  <c r="A10" i="3"/>
  <c r="CY10" i="3"/>
  <c r="CZ10" i="3"/>
  <c r="DB10" i="3" s="1"/>
  <c r="DA10" i="3"/>
  <c r="DC10" i="3"/>
  <c r="A11" i="3"/>
  <c r="CY11" i="3"/>
  <c r="CZ11" i="3"/>
  <c r="DB11" i="3" s="1"/>
  <c r="DA11" i="3"/>
  <c r="DC11" i="3"/>
  <c r="A12" i="3"/>
  <c r="CY12" i="3"/>
  <c r="CZ12" i="3"/>
  <c r="DB12" i="3" s="1"/>
  <c r="DA12" i="3"/>
  <c r="DC12" i="3"/>
  <c r="A13" i="3"/>
  <c r="CY13" i="3"/>
  <c r="CZ13" i="3"/>
  <c r="DA13" i="3"/>
  <c r="DB13" i="3"/>
  <c r="DC13" i="3"/>
  <c r="A14" i="3"/>
  <c r="CY14" i="3"/>
  <c r="CZ14" i="3"/>
  <c r="DB14" i="3" s="1"/>
  <c r="DA14" i="3"/>
  <c r="DC14" i="3"/>
  <c r="A15" i="3"/>
  <c r="CY15" i="3"/>
  <c r="CZ15" i="3"/>
  <c r="DB15" i="3" s="1"/>
  <c r="DA15" i="3"/>
  <c r="DC15" i="3"/>
  <c r="A16" i="3"/>
  <c r="CY16" i="3"/>
  <c r="CZ16" i="3"/>
  <c r="DA16" i="3"/>
  <c r="DB16" i="3"/>
  <c r="DC16" i="3"/>
  <c r="A17" i="3"/>
  <c r="CY17" i="3"/>
  <c r="CZ17" i="3"/>
  <c r="DB17" i="3" s="1"/>
  <c r="DA17" i="3"/>
  <c r="DC17" i="3"/>
  <c r="A18" i="3"/>
  <c r="CY18" i="3"/>
  <c r="CZ18" i="3"/>
  <c r="DB18" i="3" s="1"/>
  <c r="DA18" i="3"/>
  <c r="DC18" i="3"/>
  <c r="A19" i="3"/>
  <c r="CY19" i="3"/>
  <c r="CZ19" i="3"/>
  <c r="DB19" i="3" s="1"/>
  <c r="DA19" i="3"/>
  <c r="DC19" i="3"/>
  <c r="A20" i="3"/>
  <c r="CY20" i="3"/>
  <c r="CZ20" i="3"/>
  <c r="DB20" i="3" s="1"/>
  <c r="DA20" i="3"/>
  <c r="DC20" i="3"/>
  <c r="A21" i="3"/>
  <c r="CY21" i="3"/>
  <c r="CZ21" i="3"/>
  <c r="DA21" i="3"/>
  <c r="DB21" i="3"/>
  <c r="DC21" i="3"/>
  <c r="A22" i="3"/>
  <c r="CY22" i="3"/>
  <c r="CZ22" i="3"/>
  <c r="DB22" i="3" s="1"/>
  <c r="DA22" i="3"/>
  <c r="DC22" i="3"/>
  <c r="A23" i="3"/>
  <c r="CY23" i="3"/>
  <c r="CZ23" i="3"/>
  <c r="DB23" i="3" s="1"/>
  <c r="DA23" i="3"/>
  <c r="DC23" i="3"/>
  <c r="A24" i="3"/>
  <c r="CY24" i="3"/>
  <c r="CZ24" i="3"/>
  <c r="DA24" i="3"/>
  <c r="DB24" i="3"/>
  <c r="DC24" i="3"/>
  <c r="A25" i="3"/>
  <c r="CY25" i="3"/>
  <c r="CZ25" i="3"/>
  <c r="DB25" i="3" s="1"/>
  <c r="DA25" i="3"/>
  <c r="DC25" i="3"/>
  <c r="A26" i="3"/>
  <c r="CY26" i="3"/>
  <c r="CZ26" i="3"/>
  <c r="DB26" i="3" s="1"/>
  <c r="DA26" i="3"/>
  <c r="DC26" i="3"/>
  <c r="A27" i="3"/>
  <c r="CY27" i="3"/>
  <c r="CZ27" i="3"/>
  <c r="DB27" i="3" s="1"/>
  <c r="DA27" i="3"/>
  <c r="DC27" i="3"/>
  <c r="A28" i="3"/>
  <c r="CY28" i="3"/>
  <c r="CZ28" i="3"/>
  <c r="DB28" i="3" s="1"/>
  <c r="DA28" i="3"/>
  <c r="DC28" i="3"/>
  <c r="A29" i="3"/>
  <c r="CY29" i="3"/>
  <c r="CZ29" i="3"/>
  <c r="DA29" i="3"/>
  <c r="DB29" i="3"/>
  <c r="DC29" i="3"/>
  <c r="A30" i="3"/>
  <c r="CY30" i="3"/>
  <c r="CZ30" i="3"/>
  <c r="DB30" i="3" s="1"/>
  <c r="DA30" i="3"/>
  <c r="DC30" i="3"/>
  <c r="A31" i="3"/>
  <c r="CY31" i="3"/>
  <c r="CZ31" i="3"/>
  <c r="DB31" i="3" s="1"/>
  <c r="DA31" i="3"/>
  <c r="DC31" i="3"/>
  <c r="A32" i="3"/>
  <c r="CY32" i="3"/>
  <c r="CZ32" i="3"/>
  <c r="DA32" i="3"/>
  <c r="DB32" i="3"/>
  <c r="DC32" i="3"/>
  <c r="A33" i="3"/>
  <c r="CY33" i="3"/>
  <c r="CZ33" i="3"/>
  <c r="DB33" i="3" s="1"/>
  <c r="DA33" i="3"/>
  <c r="DC33" i="3"/>
  <c r="A34" i="3"/>
  <c r="CY34" i="3"/>
  <c r="CZ34" i="3"/>
  <c r="DB34" i="3" s="1"/>
  <c r="DA34" i="3"/>
  <c r="DC34" i="3"/>
  <c r="A35" i="3"/>
  <c r="CY35" i="3"/>
  <c r="CZ35" i="3"/>
  <c r="DB35" i="3" s="1"/>
  <c r="DA35" i="3"/>
  <c r="DC35" i="3"/>
  <c r="A36" i="3"/>
  <c r="CY36" i="3"/>
  <c r="CZ36" i="3"/>
  <c r="DB36" i="3" s="1"/>
  <c r="DA36" i="3"/>
  <c r="DC36" i="3"/>
  <c r="A37" i="3"/>
  <c r="CY37" i="3"/>
  <c r="CZ37" i="3"/>
  <c r="DA37" i="3"/>
  <c r="DB37" i="3"/>
  <c r="DC37" i="3"/>
  <c r="A38" i="3"/>
  <c r="CY38" i="3"/>
  <c r="CZ38" i="3"/>
  <c r="DB38" i="3" s="1"/>
  <c r="DA38" i="3"/>
  <c r="DC38" i="3"/>
  <c r="A39" i="3"/>
  <c r="CY39" i="3"/>
  <c r="CZ39" i="3"/>
  <c r="DB39" i="3" s="1"/>
  <c r="DA39" i="3"/>
  <c r="DC39" i="3"/>
  <c r="A40" i="3"/>
  <c r="CY40" i="3"/>
  <c r="CZ40" i="3"/>
  <c r="DA40" i="3"/>
  <c r="DB40" i="3"/>
  <c r="DC40" i="3"/>
  <c r="A41" i="3"/>
  <c r="CY41" i="3"/>
  <c r="CZ41" i="3"/>
  <c r="DB41" i="3" s="1"/>
  <c r="DA41" i="3"/>
  <c r="DC41" i="3"/>
  <c r="A42" i="3"/>
  <c r="CY42" i="3"/>
  <c r="CZ42" i="3"/>
  <c r="DB42" i="3" s="1"/>
  <c r="DA42" i="3"/>
  <c r="DC42" i="3"/>
  <c r="A43" i="3"/>
  <c r="CY43" i="3"/>
  <c r="CZ43" i="3"/>
  <c r="DB43" i="3" s="1"/>
  <c r="DA43" i="3"/>
  <c r="DC43" i="3"/>
  <c r="A44" i="3"/>
  <c r="CY44" i="3"/>
  <c r="CZ44" i="3"/>
  <c r="DB44" i="3" s="1"/>
  <c r="DA44" i="3"/>
  <c r="DC44" i="3"/>
  <c r="A45" i="3"/>
  <c r="CY45" i="3"/>
  <c r="CZ45" i="3"/>
  <c r="DA45" i="3"/>
  <c r="DB45" i="3"/>
  <c r="DC45" i="3"/>
  <c r="A46" i="3"/>
  <c r="CY46" i="3"/>
  <c r="CZ46" i="3"/>
  <c r="DB46" i="3" s="1"/>
  <c r="DA46" i="3"/>
  <c r="DC46" i="3"/>
  <c r="A47" i="3"/>
  <c r="CY47" i="3"/>
  <c r="CZ47" i="3"/>
  <c r="DB47" i="3" s="1"/>
  <c r="DA47" i="3"/>
  <c r="DC47" i="3"/>
  <c r="A48" i="3"/>
  <c r="CY48" i="3"/>
  <c r="CZ48" i="3"/>
  <c r="DA48" i="3"/>
  <c r="DB48" i="3"/>
  <c r="DC48" i="3"/>
  <c r="A49" i="3"/>
  <c r="CY49" i="3"/>
  <c r="CZ49" i="3"/>
  <c r="DB49" i="3" s="1"/>
  <c r="DA49" i="3"/>
  <c r="DC49" i="3"/>
  <c r="A50" i="3"/>
  <c r="CY50" i="3"/>
  <c r="CZ50" i="3"/>
  <c r="DB50" i="3" s="1"/>
  <c r="DA50" i="3"/>
  <c r="DC50" i="3"/>
  <c r="A51" i="3"/>
  <c r="CY51" i="3"/>
  <c r="CZ51" i="3"/>
  <c r="DB51" i="3" s="1"/>
  <c r="DA51" i="3"/>
  <c r="DC51" i="3"/>
  <c r="A52" i="3"/>
  <c r="CY52" i="3"/>
  <c r="CZ52" i="3"/>
  <c r="DB52" i="3" s="1"/>
  <c r="DA52" i="3"/>
  <c r="DC52" i="3"/>
  <c r="A53" i="3"/>
  <c r="CY53" i="3"/>
  <c r="CZ53" i="3"/>
  <c r="DA53" i="3"/>
  <c r="DB53" i="3"/>
  <c r="DC53" i="3"/>
  <c r="A54" i="3"/>
  <c r="CY54" i="3"/>
  <c r="CZ54" i="3"/>
  <c r="DB54" i="3" s="1"/>
  <c r="DA54" i="3"/>
  <c r="DC54" i="3"/>
  <c r="A55" i="3"/>
  <c r="CY55" i="3"/>
  <c r="CZ55" i="3"/>
  <c r="DB55" i="3" s="1"/>
  <c r="DA55" i="3"/>
  <c r="DC55" i="3"/>
  <c r="A56" i="3"/>
  <c r="CY56" i="3"/>
  <c r="CZ56" i="3"/>
  <c r="DA56" i="3"/>
  <c r="DB56" i="3"/>
  <c r="DC56" i="3"/>
  <c r="A57" i="3"/>
  <c r="CY57" i="3"/>
  <c r="CZ57" i="3"/>
  <c r="DB57" i="3" s="1"/>
  <c r="DA57" i="3"/>
  <c r="DC57" i="3"/>
  <c r="A58" i="3"/>
  <c r="CY58" i="3"/>
  <c r="CZ58" i="3"/>
  <c r="DB58" i="3" s="1"/>
  <c r="DA58" i="3"/>
  <c r="DC58" i="3"/>
  <c r="A59" i="3"/>
  <c r="CY59" i="3"/>
  <c r="CZ59" i="3"/>
  <c r="DB59" i="3" s="1"/>
  <c r="DA59" i="3"/>
  <c r="DC59" i="3"/>
  <c r="A60" i="3"/>
  <c r="CY60" i="3"/>
  <c r="CZ60" i="3"/>
  <c r="DB60" i="3" s="1"/>
  <c r="DA60" i="3"/>
  <c r="DC60" i="3"/>
  <c r="A61" i="3"/>
  <c r="CY61" i="3"/>
  <c r="CZ61" i="3"/>
  <c r="DA61" i="3"/>
  <c r="DB61" i="3"/>
  <c r="DC61" i="3"/>
  <c r="A62" i="3"/>
  <c r="CY62" i="3"/>
  <c r="CZ62" i="3"/>
  <c r="DB62" i="3" s="1"/>
  <c r="DA62" i="3"/>
  <c r="DC62" i="3"/>
  <c r="A63" i="3"/>
  <c r="CY63" i="3"/>
  <c r="CZ63" i="3"/>
  <c r="DB63" i="3" s="1"/>
  <c r="DA63" i="3"/>
  <c r="DC63" i="3"/>
  <c r="A64" i="3"/>
  <c r="CY64" i="3"/>
  <c r="CZ64" i="3"/>
  <c r="DA64" i="3"/>
  <c r="DB64" i="3"/>
  <c r="DC64" i="3"/>
  <c r="A65" i="3"/>
  <c r="CY65" i="3"/>
  <c r="CZ65" i="3"/>
  <c r="DB65" i="3" s="1"/>
  <c r="DA65" i="3"/>
  <c r="DC65" i="3"/>
  <c r="A66" i="3"/>
  <c r="CY66" i="3"/>
  <c r="CZ66" i="3"/>
  <c r="DB66" i="3" s="1"/>
  <c r="DA66" i="3"/>
  <c r="DC66" i="3"/>
  <c r="A67" i="3"/>
  <c r="CY67" i="3"/>
  <c r="CZ67" i="3"/>
  <c r="DB67" i="3" s="1"/>
  <c r="DA67" i="3"/>
  <c r="DC67" i="3"/>
  <c r="A68" i="3"/>
  <c r="CY68" i="3"/>
  <c r="CZ68" i="3"/>
  <c r="DB68" i="3" s="1"/>
  <c r="DA68" i="3"/>
  <c r="DC68" i="3"/>
  <c r="A69" i="3"/>
  <c r="CY69" i="3"/>
  <c r="CZ69" i="3"/>
  <c r="DA69" i="3"/>
  <c r="DB69" i="3"/>
  <c r="DC69" i="3"/>
  <c r="A70" i="3"/>
  <c r="CY70" i="3"/>
  <c r="CZ70" i="3"/>
  <c r="DB70" i="3" s="1"/>
  <c r="DA70" i="3"/>
  <c r="DC70" i="3"/>
  <c r="A71" i="3"/>
  <c r="CY71" i="3"/>
  <c r="CZ71" i="3"/>
  <c r="DB71" i="3" s="1"/>
  <c r="DA71" i="3"/>
  <c r="DC71" i="3"/>
  <c r="A72" i="3"/>
  <c r="CY72" i="3"/>
  <c r="CZ72" i="3"/>
  <c r="DA72" i="3"/>
  <c r="DB72" i="3"/>
  <c r="DC72" i="3"/>
  <c r="A73" i="3"/>
  <c r="CY73" i="3"/>
  <c r="CZ73" i="3"/>
  <c r="DB73" i="3" s="1"/>
  <c r="DA73" i="3"/>
  <c r="DC73" i="3"/>
  <c r="A74" i="3"/>
  <c r="CY74" i="3"/>
  <c r="CZ74" i="3"/>
  <c r="DB74" i="3" s="1"/>
  <c r="DA74" i="3"/>
  <c r="DC74" i="3"/>
  <c r="A75" i="3"/>
  <c r="CY75" i="3"/>
  <c r="CZ75" i="3"/>
  <c r="DB75" i="3" s="1"/>
  <c r="DA75" i="3"/>
  <c r="DC75" i="3"/>
  <c r="A76" i="3"/>
  <c r="CY76" i="3"/>
  <c r="CZ76" i="3"/>
  <c r="DB76" i="3" s="1"/>
  <c r="DA76" i="3"/>
  <c r="DC76" i="3"/>
  <c r="A77" i="3"/>
  <c r="CY77" i="3"/>
  <c r="CZ77" i="3"/>
  <c r="DA77" i="3"/>
  <c r="DB77" i="3"/>
  <c r="DC77" i="3"/>
  <c r="A78" i="3"/>
  <c r="CY78" i="3"/>
  <c r="CZ78" i="3"/>
  <c r="DB78" i="3" s="1"/>
  <c r="DA78" i="3"/>
  <c r="DC78" i="3"/>
  <c r="A79" i="3"/>
  <c r="CY79" i="3"/>
  <c r="CZ79" i="3"/>
  <c r="DB79" i="3" s="1"/>
  <c r="DA79" i="3"/>
  <c r="DC79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D24" i="1"/>
  <c r="E26" i="1"/>
  <c r="Z26" i="1"/>
  <c r="AA26" i="1"/>
  <c r="AM26" i="1"/>
  <c r="AN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C28" i="1"/>
  <c r="D28" i="1"/>
  <c r="I28" i="1"/>
  <c r="AC28" i="1"/>
  <c r="AD28" i="1"/>
  <c r="CR28" i="1" s="1"/>
  <c r="AE28" i="1"/>
  <c r="AF28" i="1"/>
  <c r="S43" i="5" s="1"/>
  <c r="AG28" i="1"/>
  <c r="AH28" i="1"/>
  <c r="CV28" i="1" s="1"/>
  <c r="AI28" i="1"/>
  <c r="AJ28" i="1"/>
  <c r="CX28" i="1" s="1"/>
  <c r="W28" i="1" s="1"/>
  <c r="CQ28" i="1"/>
  <c r="CS28" i="1"/>
  <c r="CU28" i="1"/>
  <c r="T28" i="1" s="1"/>
  <c r="CW28" i="1"/>
  <c r="FR28" i="1"/>
  <c r="GL28" i="1"/>
  <c r="GO28" i="1"/>
  <c r="GP28" i="1"/>
  <c r="GV28" i="1"/>
  <c r="HC28" i="1"/>
  <c r="AC29" i="1"/>
  <c r="CQ29" i="1" s="1"/>
  <c r="AE29" i="1"/>
  <c r="AD29" i="1" s="1"/>
  <c r="AF29" i="1"/>
  <c r="AG29" i="1"/>
  <c r="AH29" i="1"/>
  <c r="AI29" i="1"/>
  <c r="CW29" i="1" s="1"/>
  <c r="AJ29" i="1"/>
  <c r="CX29" i="1" s="1"/>
  <c r="CU29" i="1"/>
  <c r="CV29" i="1"/>
  <c r="FR29" i="1"/>
  <c r="GL29" i="1"/>
  <c r="GO29" i="1"/>
  <c r="GP29" i="1"/>
  <c r="GV29" i="1"/>
  <c r="HC29" i="1"/>
  <c r="C30" i="1"/>
  <c r="D30" i="1"/>
  <c r="I30" i="1"/>
  <c r="CX3" i="3" s="1"/>
  <c r="AC30" i="1"/>
  <c r="CQ30" i="1" s="1"/>
  <c r="P30" i="1" s="1"/>
  <c r="AE30" i="1"/>
  <c r="AF30" i="1"/>
  <c r="H53" i="5" s="1"/>
  <c r="AG30" i="1"/>
  <c r="CU30" i="1" s="1"/>
  <c r="T30" i="1" s="1"/>
  <c r="AH30" i="1"/>
  <c r="AI30" i="1"/>
  <c r="CW30" i="1" s="1"/>
  <c r="V30" i="1" s="1"/>
  <c r="AJ30" i="1"/>
  <c r="CT30" i="1"/>
  <c r="S30" i="1" s="1"/>
  <c r="K53" i="5" s="1"/>
  <c r="CV30" i="1"/>
  <c r="U30" i="1" s="1"/>
  <c r="L60" i="5" s="1"/>
  <c r="Q60" i="5" s="1"/>
  <c r="CX30" i="1"/>
  <c r="W30" i="1" s="1"/>
  <c r="FR30" i="1"/>
  <c r="GL30" i="1"/>
  <c r="GO30" i="1"/>
  <c r="GP30" i="1"/>
  <c r="GV30" i="1"/>
  <c r="HC30" i="1"/>
  <c r="GX30" i="1" s="1"/>
  <c r="AC31" i="1"/>
  <c r="AE31" i="1"/>
  <c r="AD31" i="1" s="1"/>
  <c r="AF31" i="1"/>
  <c r="AG31" i="1"/>
  <c r="AH31" i="1"/>
  <c r="AI31" i="1"/>
  <c r="CW31" i="1" s="1"/>
  <c r="AJ31" i="1"/>
  <c r="CX31" i="1" s="1"/>
  <c r="CU31" i="1"/>
  <c r="CV31" i="1"/>
  <c r="FR31" i="1"/>
  <c r="GL31" i="1"/>
  <c r="GO31" i="1"/>
  <c r="GP31" i="1"/>
  <c r="GV31" i="1"/>
  <c r="HC31" i="1"/>
  <c r="C32" i="1"/>
  <c r="D32" i="1"/>
  <c r="I32" i="1"/>
  <c r="CX7" i="3" s="1"/>
  <c r="AC32" i="1"/>
  <c r="CQ32" i="1" s="1"/>
  <c r="P32" i="1" s="1"/>
  <c r="AE32" i="1"/>
  <c r="AF32" i="1"/>
  <c r="AG32" i="1"/>
  <c r="CU32" i="1" s="1"/>
  <c r="T32" i="1" s="1"/>
  <c r="AH32" i="1"/>
  <c r="AI32" i="1"/>
  <c r="CW32" i="1" s="1"/>
  <c r="V32" i="1" s="1"/>
  <c r="AJ32" i="1"/>
  <c r="CT32" i="1"/>
  <c r="S32" i="1" s="1"/>
  <c r="K63" i="5" s="1"/>
  <c r="CV32" i="1"/>
  <c r="U32" i="1" s="1"/>
  <c r="L68" i="5" s="1"/>
  <c r="CX32" i="1"/>
  <c r="W32" i="1" s="1"/>
  <c r="FR32" i="1"/>
  <c r="GL32" i="1"/>
  <c r="GO32" i="1"/>
  <c r="GP32" i="1"/>
  <c r="GV32" i="1"/>
  <c r="HC32" i="1"/>
  <c r="GX32" i="1" s="1"/>
  <c r="AC33" i="1"/>
  <c r="CQ33" i="1" s="1"/>
  <c r="AE33" i="1"/>
  <c r="AD33" i="1" s="1"/>
  <c r="AF33" i="1"/>
  <c r="AG33" i="1"/>
  <c r="AH33" i="1"/>
  <c r="AI33" i="1"/>
  <c r="CW33" i="1" s="1"/>
  <c r="AJ33" i="1"/>
  <c r="CX33" i="1" s="1"/>
  <c r="CU33" i="1"/>
  <c r="CV33" i="1"/>
  <c r="FR33" i="1"/>
  <c r="GL33" i="1"/>
  <c r="GO33" i="1"/>
  <c r="GP33" i="1"/>
  <c r="GV33" i="1"/>
  <c r="HC33" i="1"/>
  <c r="C34" i="1"/>
  <c r="D34" i="1"/>
  <c r="I34" i="1"/>
  <c r="CX13" i="3" s="1"/>
  <c r="AC34" i="1"/>
  <c r="CQ34" i="1" s="1"/>
  <c r="P34" i="1" s="1"/>
  <c r="AE34" i="1"/>
  <c r="AF34" i="1"/>
  <c r="S71" i="5" s="1"/>
  <c r="AG34" i="1"/>
  <c r="CU34" i="1" s="1"/>
  <c r="T34" i="1" s="1"/>
  <c r="AH34" i="1"/>
  <c r="AI34" i="1"/>
  <c r="CW34" i="1" s="1"/>
  <c r="V34" i="1" s="1"/>
  <c r="AJ34" i="1"/>
  <c r="CT34" i="1"/>
  <c r="S34" i="1" s="1"/>
  <c r="K73" i="5" s="1"/>
  <c r="CV34" i="1"/>
  <c r="U34" i="1" s="1"/>
  <c r="CX34" i="1"/>
  <c r="W34" i="1" s="1"/>
  <c r="FR34" i="1"/>
  <c r="GL34" i="1"/>
  <c r="GO34" i="1"/>
  <c r="GP34" i="1"/>
  <c r="GV34" i="1"/>
  <c r="HC34" i="1"/>
  <c r="GX34" i="1" s="1"/>
  <c r="AC35" i="1"/>
  <c r="AE35" i="1"/>
  <c r="AD35" i="1" s="1"/>
  <c r="AF35" i="1"/>
  <c r="AG35" i="1"/>
  <c r="AH35" i="1"/>
  <c r="AI35" i="1"/>
  <c r="CW35" i="1" s="1"/>
  <c r="AJ35" i="1"/>
  <c r="CX35" i="1" s="1"/>
  <c r="CU35" i="1"/>
  <c r="CV35" i="1"/>
  <c r="FR35" i="1"/>
  <c r="GL35" i="1"/>
  <c r="GO35" i="1"/>
  <c r="GP35" i="1"/>
  <c r="GV35" i="1"/>
  <c r="HC35" i="1"/>
  <c r="C36" i="1"/>
  <c r="D36" i="1"/>
  <c r="I36" i="1"/>
  <c r="CX15" i="3" s="1"/>
  <c r="AC36" i="1"/>
  <c r="CQ36" i="1" s="1"/>
  <c r="P36" i="1" s="1"/>
  <c r="AD36" i="1"/>
  <c r="CR36" i="1" s="1"/>
  <c r="Q36" i="1" s="1"/>
  <c r="AE36" i="1"/>
  <c r="AF36" i="1"/>
  <c r="CT36" i="1" s="1"/>
  <c r="S36" i="1" s="1"/>
  <c r="K81" i="5" s="1"/>
  <c r="AG36" i="1"/>
  <c r="CU36" i="1" s="1"/>
  <c r="T36" i="1" s="1"/>
  <c r="AH36" i="1"/>
  <c r="CV36" i="1" s="1"/>
  <c r="U36" i="1" s="1"/>
  <c r="L86" i="5" s="1"/>
  <c r="Q86" i="5" s="1"/>
  <c r="AI36" i="1"/>
  <c r="AJ36" i="1"/>
  <c r="CX36" i="1" s="1"/>
  <c r="W36" i="1" s="1"/>
  <c r="CS36" i="1"/>
  <c r="R36" i="1" s="1"/>
  <c r="CW36" i="1"/>
  <c r="V36" i="1" s="1"/>
  <c r="FR36" i="1"/>
  <c r="GL36" i="1"/>
  <c r="GO36" i="1"/>
  <c r="GP36" i="1"/>
  <c r="CD41" i="1" s="1"/>
  <c r="AU41" i="1" s="1"/>
  <c r="GV36" i="1"/>
  <c r="HC36" i="1"/>
  <c r="GX36" i="1" s="1"/>
  <c r="I37" i="1"/>
  <c r="E85" i="5" s="1"/>
  <c r="AC37" i="1"/>
  <c r="CQ37" i="1" s="1"/>
  <c r="P37" i="1" s="1"/>
  <c r="AE37" i="1"/>
  <c r="AD37" i="1" s="1"/>
  <c r="AF37" i="1"/>
  <c r="AG37" i="1"/>
  <c r="AH37" i="1"/>
  <c r="CV37" i="1" s="1"/>
  <c r="U37" i="1" s="1"/>
  <c r="AI37" i="1"/>
  <c r="CW37" i="1" s="1"/>
  <c r="AJ37" i="1"/>
  <c r="CX37" i="1" s="1"/>
  <c r="W37" i="1" s="1"/>
  <c r="CU37" i="1"/>
  <c r="T37" i="1" s="1"/>
  <c r="FR37" i="1"/>
  <c r="GL37" i="1"/>
  <c r="GO37" i="1"/>
  <c r="GP37" i="1"/>
  <c r="GV37" i="1"/>
  <c r="HC37" i="1"/>
  <c r="GX37" i="1" s="1"/>
  <c r="C38" i="1"/>
  <c r="D38" i="1"/>
  <c r="I38" i="1"/>
  <c r="AC38" i="1"/>
  <c r="CQ38" i="1" s="1"/>
  <c r="P38" i="1" s="1"/>
  <c r="AE38" i="1"/>
  <c r="AD38" i="1" s="1"/>
  <c r="AF38" i="1"/>
  <c r="AG38" i="1"/>
  <c r="CU38" i="1" s="1"/>
  <c r="T38" i="1" s="1"/>
  <c r="AH38" i="1"/>
  <c r="CV38" i="1" s="1"/>
  <c r="AI38" i="1"/>
  <c r="CW38" i="1" s="1"/>
  <c r="V38" i="1" s="1"/>
  <c r="AJ38" i="1"/>
  <c r="CX38" i="1" s="1"/>
  <c r="W38" i="1" s="1"/>
  <c r="CS38" i="1"/>
  <c r="R38" i="1" s="1"/>
  <c r="FR38" i="1"/>
  <c r="GL38" i="1"/>
  <c r="GO38" i="1"/>
  <c r="CC41" i="1" s="1"/>
  <c r="AT41" i="1" s="1"/>
  <c r="GP38" i="1"/>
  <c r="GV38" i="1"/>
  <c r="HC38" i="1" s="1"/>
  <c r="GX38" i="1" s="1"/>
  <c r="I39" i="1"/>
  <c r="GX39" i="1" s="1"/>
  <c r="AC39" i="1"/>
  <c r="AE39" i="1"/>
  <c r="AD39" i="1" s="1"/>
  <c r="AF39" i="1"/>
  <c r="AG39" i="1"/>
  <c r="CU39" i="1" s="1"/>
  <c r="T39" i="1" s="1"/>
  <c r="AH39" i="1"/>
  <c r="AI39" i="1"/>
  <c r="CW39" i="1" s="1"/>
  <c r="AJ39" i="1"/>
  <c r="CX39" i="1" s="1"/>
  <c r="CV39" i="1"/>
  <c r="U39" i="1" s="1"/>
  <c r="FR39" i="1"/>
  <c r="GL39" i="1"/>
  <c r="GO39" i="1"/>
  <c r="GP39" i="1"/>
  <c r="GV39" i="1"/>
  <c r="HC39" i="1"/>
  <c r="B41" i="1"/>
  <c r="B26" i="1" s="1"/>
  <c r="C41" i="1"/>
  <c r="C26" i="1" s="1"/>
  <c r="D41" i="1"/>
  <c r="D26" i="1" s="1"/>
  <c r="F41" i="1"/>
  <c r="F26" i="1" s="1"/>
  <c r="G41" i="1"/>
  <c r="BX41" i="1"/>
  <c r="BX26" i="1" s="1"/>
  <c r="BY41" i="1"/>
  <c r="AP41" i="1" s="1"/>
  <c r="CK41" i="1"/>
  <c r="BB41" i="1" s="1"/>
  <c r="CL41" i="1"/>
  <c r="BC41" i="1" s="1"/>
  <c r="CM41" i="1"/>
  <c r="CM26" i="1" s="1"/>
  <c r="D71" i="1"/>
  <c r="E73" i="1"/>
  <c r="Z73" i="1"/>
  <c r="AA73" i="1"/>
  <c r="AM73" i="1"/>
  <c r="AN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F73" i="1"/>
  <c r="EG73" i="1"/>
  <c r="EH73" i="1"/>
  <c r="EI73" i="1"/>
  <c r="EJ73" i="1"/>
  <c r="EK73" i="1"/>
  <c r="EL73" i="1"/>
  <c r="EM73" i="1"/>
  <c r="EN73" i="1"/>
  <c r="EO73" i="1"/>
  <c r="EP73" i="1"/>
  <c r="EQ73" i="1"/>
  <c r="ER73" i="1"/>
  <c r="ES73" i="1"/>
  <c r="ET73" i="1"/>
  <c r="EU73" i="1"/>
  <c r="EV73" i="1"/>
  <c r="EW73" i="1"/>
  <c r="EX73" i="1"/>
  <c r="EY73" i="1"/>
  <c r="EZ73" i="1"/>
  <c r="FA73" i="1"/>
  <c r="FB73" i="1"/>
  <c r="FC73" i="1"/>
  <c r="FD73" i="1"/>
  <c r="FE73" i="1"/>
  <c r="FF73" i="1"/>
  <c r="FG73" i="1"/>
  <c r="FH73" i="1"/>
  <c r="FI73" i="1"/>
  <c r="FJ73" i="1"/>
  <c r="FK73" i="1"/>
  <c r="FL73" i="1"/>
  <c r="FM73" i="1"/>
  <c r="FN73" i="1"/>
  <c r="FO73" i="1"/>
  <c r="FP73" i="1"/>
  <c r="FQ73" i="1"/>
  <c r="FR73" i="1"/>
  <c r="FS73" i="1"/>
  <c r="FT73" i="1"/>
  <c r="FU73" i="1"/>
  <c r="FV73" i="1"/>
  <c r="FW73" i="1"/>
  <c r="FX73" i="1"/>
  <c r="FY73" i="1"/>
  <c r="FZ73" i="1"/>
  <c r="GA73" i="1"/>
  <c r="GB73" i="1"/>
  <c r="GC73" i="1"/>
  <c r="GD73" i="1"/>
  <c r="GE73" i="1"/>
  <c r="GF73" i="1"/>
  <c r="GG73" i="1"/>
  <c r="GH73" i="1"/>
  <c r="GI73" i="1"/>
  <c r="GJ73" i="1"/>
  <c r="GK73" i="1"/>
  <c r="GL73" i="1"/>
  <c r="GM73" i="1"/>
  <c r="GN73" i="1"/>
  <c r="GO73" i="1"/>
  <c r="GP73" i="1"/>
  <c r="GQ73" i="1"/>
  <c r="GR73" i="1"/>
  <c r="GS73" i="1"/>
  <c r="GT73" i="1"/>
  <c r="GU73" i="1"/>
  <c r="GV73" i="1"/>
  <c r="GW73" i="1"/>
  <c r="GX73" i="1"/>
  <c r="C75" i="1"/>
  <c r="D75" i="1"/>
  <c r="I75" i="1"/>
  <c r="AC75" i="1"/>
  <c r="CQ75" i="1" s="1"/>
  <c r="AE75" i="1"/>
  <c r="AF75" i="1"/>
  <c r="AG75" i="1"/>
  <c r="CU75" i="1" s="1"/>
  <c r="T75" i="1" s="1"/>
  <c r="AH75" i="1"/>
  <c r="AI75" i="1"/>
  <c r="CW75" i="1" s="1"/>
  <c r="AJ75" i="1"/>
  <c r="CX75" i="1" s="1"/>
  <c r="CT75" i="1"/>
  <c r="S75" i="1" s="1"/>
  <c r="K114" i="5" s="1"/>
  <c r="CV75" i="1"/>
  <c r="FR75" i="1"/>
  <c r="GL75" i="1"/>
  <c r="GO75" i="1"/>
  <c r="GP75" i="1"/>
  <c r="GV75" i="1"/>
  <c r="HC75" i="1" s="1"/>
  <c r="GX75" i="1" s="1"/>
  <c r="AC76" i="1"/>
  <c r="AD76" i="1"/>
  <c r="CR76" i="1" s="1"/>
  <c r="AE76" i="1"/>
  <c r="AF76" i="1"/>
  <c r="AG76" i="1"/>
  <c r="CU76" i="1" s="1"/>
  <c r="AH76" i="1"/>
  <c r="CV76" i="1" s="1"/>
  <c r="AI76" i="1"/>
  <c r="CW76" i="1" s="1"/>
  <c r="AJ76" i="1"/>
  <c r="CX76" i="1" s="1"/>
  <c r="CQ76" i="1"/>
  <c r="CS76" i="1"/>
  <c r="FR76" i="1"/>
  <c r="GL76" i="1"/>
  <c r="GO76" i="1"/>
  <c r="GP76" i="1"/>
  <c r="GV76" i="1"/>
  <c r="HC76" i="1" s="1"/>
  <c r="I77" i="1"/>
  <c r="E122" i="5" s="1"/>
  <c r="AC77" i="1"/>
  <c r="AE77" i="1"/>
  <c r="CS77" i="1" s="1"/>
  <c r="R77" i="1" s="1"/>
  <c r="AF77" i="1"/>
  <c r="AG77" i="1"/>
  <c r="CU77" i="1" s="1"/>
  <c r="T77" i="1" s="1"/>
  <c r="AH77" i="1"/>
  <c r="AI77" i="1"/>
  <c r="CW77" i="1" s="1"/>
  <c r="V77" i="1" s="1"/>
  <c r="AJ77" i="1"/>
  <c r="CT77" i="1"/>
  <c r="S77" i="1" s="1"/>
  <c r="CZ77" i="1" s="1"/>
  <c r="Y77" i="1" s="1"/>
  <c r="V122" i="5" s="1"/>
  <c r="CV77" i="1"/>
  <c r="CX77" i="1"/>
  <c r="W77" i="1" s="1"/>
  <c r="FR77" i="1"/>
  <c r="GL77" i="1"/>
  <c r="GO77" i="1"/>
  <c r="GP77" i="1"/>
  <c r="GV77" i="1"/>
  <c r="HC77" i="1" s="1"/>
  <c r="GX77" i="1" s="1"/>
  <c r="C78" i="1"/>
  <c r="D78" i="1"/>
  <c r="I78" i="1"/>
  <c r="AC78" i="1"/>
  <c r="H129" i="5" s="1"/>
  <c r="AD78" i="1"/>
  <c r="AE78" i="1"/>
  <c r="H128" i="5" s="1"/>
  <c r="R128" i="5" s="1"/>
  <c r="AF78" i="1"/>
  <c r="AG78" i="1"/>
  <c r="AH78" i="1"/>
  <c r="CV78" i="1" s="1"/>
  <c r="U78" i="1" s="1"/>
  <c r="AI78" i="1"/>
  <c r="CW78" i="1" s="1"/>
  <c r="V78" i="1" s="1"/>
  <c r="AJ78" i="1"/>
  <c r="CX78" i="1" s="1"/>
  <c r="CQ78" i="1"/>
  <c r="P78" i="1" s="1"/>
  <c r="K129" i="5" s="1"/>
  <c r="CS78" i="1"/>
  <c r="R78" i="1" s="1"/>
  <c r="K128" i="5" s="1"/>
  <c r="CU78" i="1"/>
  <c r="T78" i="1" s="1"/>
  <c r="FR78" i="1"/>
  <c r="GL78" i="1"/>
  <c r="GO78" i="1"/>
  <c r="CC96" i="1" s="1"/>
  <c r="CC73" i="1" s="1"/>
  <c r="GP78" i="1"/>
  <c r="GV78" i="1"/>
  <c r="HC78" i="1" s="1"/>
  <c r="GX78" i="1" s="1"/>
  <c r="I79" i="1"/>
  <c r="AC79" i="1"/>
  <c r="AE79" i="1"/>
  <c r="AF79" i="1"/>
  <c r="AG79" i="1"/>
  <c r="CU79" i="1" s="1"/>
  <c r="T79" i="1" s="1"/>
  <c r="AH79" i="1"/>
  <c r="AI79" i="1"/>
  <c r="CW79" i="1" s="1"/>
  <c r="AJ79" i="1"/>
  <c r="CX79" i="1" s="1"/>
  <c r="W79" i="1" s="1"/>
  <c r="CT79" i="1"/>
  <c r="S79" i="1" s="1"/>
  <c r="CV79" i="1"/>
  <c r="U79" i="1" s="1"/>
  <c r="FR79" i="1"/>
  <c r="GL79" i="1"/>
  <c r="GO79" i="1"/>
  <c r="GP79" i="1"/>
  <c r="GV79" i="1"/>
  <c r="HC79" i="1" s="1"/>
  <c r="GX79" i="1"/>
  <c r="I80" i="1"/>
  <c r="E134" i="5" s="1"/>
  <c r="AC80" i="1"/>
  <c r="H134" i="5" s="1"/>
  <c r="AD80" i="1"/>
  <c r="CR80" i="1" s="1"/>
  <c r="Q80" i="1" s="1"/>
  <c r="AE80" i="1"/>
  <c r="AF80" i="1"/>
  <c r="AG80" i="1"/>
  <c r="CU80" i="1" s="1"/>
  <c r="T80" i="1" s="1"/>
  <c r="AH80" i="1"/>
  <c r="CV80" i="1" s="1"/>
  <c r="U80" i="1" s="1"/>
  <c r="L135" i="5" s="1"/>
  <c r="Q135" i="5" s="1"/>
  <c r="AI80" i="1"/>
  <c r="AJ80" i="1"/>
  <c r="CX80" i="1" s="1"/>
  <c r="CQ80" i="1"/>
  <c r="P80" i="1" s="1"/>
  <c r="CS80" i="1"/>
  <c r="R80" i="1" s="1"/>
  <c r="CW80" i="1"/>
  <c r="FR80" i="1"/>
  <c r="GL80" i="1"/>
  <c r="GO80" i="1"/>
  <c r="GP80" i="1"/>
  <c r="CD96" i="1" s="1"/>
  <c r="CD73" i="1" s="1"/>
  <c r="GV80" i="1"/>
  <c r="HC80" i="1" s="1"/>
  <c r="GX80" i="1" s="1"/>
  <c r="C81" i="1"/>
  <c r="D81" i="1"/>
  <c r="I81" i="1"/>
  <c r="AC81" i="1"/>
  <c r="AE81" i="1"/>
  <c r="H140" i="5" s="1"/>
  <c r="R140" i="5" s="1"/>
  <c r="AF81" i="1"/>
  <c r="CT81" i="1" s="1"/>
  <c r="S81" i="1" s="1"/>
  <c r="K138" i="5" s="1"/>
  <c r="AG81" i="1"/>
  <c r="CU81" i="1" s="1"/>
  <c r="AH81" i="1"/>
  <c r="AI81" i="1"/>
  <c r="CW81" i="1" s="1"/>
  <c r="V81" i="1" s="1"/>
  <c r="AJ81" i="1"/>
  <c r="CV81" i="1"/>
  <c r="CX81" i="1"/>
  <c r="W81" i="1" s="1"/>
  <c r="FR81" i="1"/>
  <c r="GL81" i="1"/>
  <c r="GO81" i="1"/>
  <c r="GP81" i="1"/>
  <c r="GV81" i="1"/>
  <c r="HC81" i="1" s="1"/>
  <c r="GX81" i="1" s="1"/>
  <c r="AC82" i="1"/>
  <c r="AE82" i="1"/>
  <c r="AD82" i="1" s="1"/>
  <c r="CR82" i="1" s="1"/>
  <c r="AF82" i="1"/>
  <c r="AG82" i="1"/>
  <c r="AH82" i="1"/>
  <c r="CV82" i="1" s="1"/>
  <c r="AI82" i="1"/>
  <c r="CW82" i="1" s="1"/>
  <c r="AJ82" i="1"/>
  <c r="CX82" i="1" s="1"/>
  <c r="CQ82" i="1"/>
  <c r="CU82" i="1"/>
  <c r="FR82" i="1"/>
  <c r="GL82" i="1"/>
  <c r="BZ96" i="1" s="1"/>
  <c r="GO82" i="1"/>
  <c r="GP82" i="1"/>
  <c r="GV82" i="1"/>
  <c r="HC82" i="1"/>
  <c r="I83" i="1"/>
  <c r="E146" i="5" s="1"/>
  <c r="AC83" i="1"/>
  <c r="AE83" i="1"/>
  <c r="AF83" i="1"/>
  <c r="AG83" i="1"/>
  <c r="CU83" i="1" s="1"/>
  <c r="AH83" i="1"/>
  <c r="AI83" i="1"/>
  <c r="CW83" i="1" s="1"/>
  <c r="V83" i="1" s="1"/>
  <c r="AJ83" i="1"/>
  <c r="CT83" i="1"/>
  <c r="CV83" i="1"/>
  <c r="U83" i="1" s="1"/>
  <c r="CX83" i="1"/>
  <c r="W83" i="1" s="1"/>
  <c r="FR83" i="1"/>
  <c r="GL83" i="1"/>
  <c r="GO83" i="1"/>
  <c r="GP83" i="1"/>
  <c r="GV83" i="1"/>
  <c r="HC83" i="1"/>
  <c r="GX83" i="1" s="1"/>
  <c r="C84" i="1"/>
  <c r="D84" i="1"/>
  <c r="I84" i="1"/>
  <c r="E148" i="5" s="1"/>
  <c r="P84" i="1"/>
  <c r="AC84" i="1"/>
  <c r="AE84" i="1"/>
  <c r="H152" i="5" s="1"/>
  <c r="R152" i="5" s="1"/>
  <c r="AF84" i="1"/>
  <c r="AG84" i="1"/>
  <c r="AH84" i="1"/>
  <c r="CV84" i="1" s="1"/>
  <c r="U84" i="1" s="1"/>
  <c r="AI84" i="1"/>
  <c r="CW84" i="1" s="1"/>
  <c r="V84" i="1" s="1"/>
  <c r="AJ84" i="1"/>
  <c r="CX84" i="1" s="1"/>
  <c r="W84" i="1" s="1"/>
  <c r="CQ84" i="1"/>
  <c r="CT84" i="1"/>
  <c r="S84" i="1" s="1"/>
  <c r="CU84" i="1"/>
  <c r="T84" i="1" s="1"/>
  <c r="FR84" i="1"/>
  <c r="GL84" i="1"/>
  <c r="GO84" i="1"/>
  <c r="GP84" i="1"/>
  <c r="GV84" i="1"/>
  <c r="HC84" i="1" s="1"/>
  <c r="GX84" i="1" s="1"/>
  <c r="AC85" i="1"/>
  <c r="AD85" i="1"/>
  <c r="CR85" i="1" s="1"/>
  <c r="AE85" i="1"/>
  <c r="CS85" i="1" s="1"/>
  <c r="AF85" i="1"/>
  <c r="AG85" i="1"/>
  <c r="CU85" i="1" s="1"/>
  <c r="AH85" i="1"/>
  <c r="CV85" i="1" s="1"/>
  <c r="AI85" i="1"/>
  <c r="AJ85" i="1"/>
  <c r="CT85" i="1"/>
  <c r="CW85" i="1"/>
  <c r="CX85" i="1"/>
  <c r="FR85" i="1"/>
  <c r="GL85" i="1"/>
  <c r="GO85" i="1"/>
  <c r="GP85" i="1"/>
  <c r="GV85" i="1"/>
  <c r="HC85" i="1"/>
  <c r="I86" i="1"/>
  <c r="E158" i="5" s="1"/>
  <c r="AC86" i="1"/>
  <c r="CQ86" i="1" s="1"/>
  <c r="AE86" i="1"/>
  <c r="AD86" i="1" s="1"/>
  <c r="AF86" i="1"/>
  <c r="AG86" i="1"/>
  <c r="CU86" i="1" s="1"/>
  <c r="T86" i="1" s="1"/>
  <c r="AH86" i="1"/>
  <c r="AI86" i="1"/>
  <c r="AJ86" i="1"/>
  <c r="CX86" i="1" s="1"/>
  <c r="W86" i="1" s="1"/>
  <c r="CS86" i="1"/>
  <c r="R86" i="1" s="1"/>
  <c r="CV86" i="1"/>
  <c r="CW86" i="1"/>
  <c r="FR86" i="1"/>
  <c r="GL86" i="1"/>
  <c r="GO86" i="1"/>
  <c r="GP86" i="1"/>
  <c r="GV86" i="1"/>
  <c r="HC86" i="1" s="1"/>
  <c r="GX86" i="1" s="1"/>
  <c r="AC87" i="1"/>
  <c r="CQ87" i="1" s="1"/>
  <c r="AE87" i="1"/>
  <c r="CS87" i="1" s="1"/>
  <c r="AF87" i="1"/>
  <c r="AG87" i="1"/>
  <c r="AH87" i="1"/>
  <c r="AI87" i="1"/>
  <c r="CW87" i="1" s="1"/>
  <c r="AJ87" i="1"/>
  <c r="CX87" i="1" s="1"/>
  <c r="CU87" i="1"/>
  <c r="CV87" i="1"/>
  <c r="FR87" i="1"/>
  <c r="GL87" i="1"/>
  <c r="GO87" i="1"/>
  <c r="GP87" i="1"/>
  <c r="GV87" i="1"/>
  <c r="HC87" i="1" s="1"/>
  <c r="C88" i="1"/>
  <c r="D88" i="1"/>
  <c r="I88" i="1"/>
  <c r="AC88" i="1"/>
  <c r="AE88" i="1"/>
  <c r="AF88" i="1"/>
  <c r="AG88" i="1"/>
  <c r="CU88" i="1" s="1"/>
  <c r="AH88" i="1"/>
  <c r="AI88" i="1"/>
  <c r="AJ88" i="1"/>
  <c r="CX88" i="1" s="1"/>
  <c r="CS88" i="1"/>
  <c r="CV88" i="1"/>
  <c r="CW88" i="1"/>
  <c r="FR88" i="1"/>
  <c r="GL88" i="1"/>
  <c r="GO88" i="1"/>
  <c r="GP88" i="1"/>
  <c r="GV88" i="1"/>
  <c r="HC88" i="1"/>
  <c r="GX88" i="1" s="1"/>
  <c r="AC89" i="1"/>
  <c r="AE89" i="1"/>
  <c r="CS89" i="1" s="1"/>
  <c r="AF89" i="1"/>
  <c r="AG89" i="1"/>
  <c r="CU89" i="1" s="1"/>
  <c r="AH89" i="1"/>
  <c r="CV89" i="1" s="1"/>
  <c r="AI89" i="1"/>
  <c r="CW89" i="1" s="1"/>
  <c r="AJ89" i="1"/>
  <c r="CX89" i="1" s="1"/>
  <c r="CQ89" i="1"/>
  <c r="FR89" i="1"/>
  <c r="GL89" i="1"/>
  <c r="GO89" i="1"/>
  <c r="GP89" i="1"/>
  <c r="GV89" i="1"/>
  <c r="HC89" i="1" s="1"/>
  <c r="C90" i="1"/>
  <c r="D90" i="1"/>
  <c r="I90" i="1"/>
  <c r="I92" i="1" s="1"/>
  <c r="E181" i="5" s="1"/>
  <c r="AC90" i="1"/>
  <c r="AE90" i="1"/>
  <c r="CS90" i="1" s="1"/>
  <c r="R90" i="1" s="1"/>
  <c r="K175" i="5" s="1"/>
  <c r="AF90" i="1"/>
  <c r="AG90" i="1"/>
  <c r="CU90" i="1" s="1"/>
  <c r="T90" i="1" s="1"/>
  <c r="AH90" i="1"/>
  <c r="AI90" i="1"/>
  <c r="AJ90" i="1"/>
  <c r="CX90" i="1" s="1"/>
  <c r="W90" i="1" s="1"/>
  <c r="CV90" i="1"/>
  <c r="U90" i="1" s="1"/>
  <c r="CW90" i="1"/>
  <c r="V90" i="1" s="1"/>
  <c r="FR90" i="1"/>
  <c r="GL90" i="1"/>
  <c r="GO90" i="1"/>
  <c r="GP90" i="1"/>
  <c r="GV90" i="1"/>
  <c r="HC90" i="1" s="1"/>
  <c r="GX90" i="1" s="1"/>
  <c r="AC91" i="1"/>
  <c r="CQ91" i="1" s="1"/>
  <c r="AE91" i="1"/>
  <c r="CS91" i="1" s="1"/>
  <c r="AF91" i="1"/>
  <c r="AG91" i="1"/>
  <c r="AH91" i="1"/>
  <c r="AI91" i="1"/>
  <c r="CW91" i="1" s="1"/>
  <c r="AJ91" i="1"/>
  <c r="CX91" i="1" s="1"/>
  <c r="CU91" i="1"/>
  <c r="CV91" i="1"/>
  <c r="FR91" i="1"/>
  <c r="GL91" i="1"/>
  <c r="GO91" i="1"/>
  <c r="GP91" i="1"/>
  <c r="GV91" i="1"/>
  <c r="HC91" i="1" s="1"/>
  <c r="AC92" i="1"/>
  <c r="AE92" i="1"/>
  <c r="CS92" i="1" s="1"/>
  <c r="AF92" i="1"/>
  <c r="AG92" i="1"/>
  <c r="AH92" i="1"/>
  <c r="CV92" i="1" s="1"/>
  <c r="U92" i="1" s="1"/>
  <c r="AI92" i="1"/>
  <c r="CW92" i="1" s="1"/>
  <c r="AJ92" i="1"/>
  <c r="CQ92" i="1"/>
  <c r="P92" i="1" s="1"/>
  <c r="CU92" i="1"/>
  <c r="CX92" i="1"/>
  <c r="FR92" i="1"/>
  <c r="GL92" i="1"/>
  <c r="GO92" i="1"/>
  <c r="GP92" i="1"/>
  <c r="GV92" i="1"/>
  <c r="HC92" i="1" s="1"/>
  <c r="GX92" i="1" s="1"/>
  <c r="C93" i="1"/>
  <c r="D93" i="1"/>
  <c r="I93" i="1"/>
  <c r="I94" i="1" s="1"/>
  <c r="E190" i="5" s="1"/>
  <c r="AC93" i="1"/>
  <c r="AE93" i="1"/>
  <c r="CS93" i="1" s="1"/>
  <c r="AF93" i="1"/>
  <c r="AG93" i="1"/>
  <c r="CU93" i="1" s="1"/>
  <c r="T93" i="1" s="1"/>
  <c r="AH93" i="1"/>
  <c r="AI93" i="1"/>
  <c r="CW93" i="1" s="1"/>
  <c r="AJ93" i="1"/>
  <c r="CX93" i="1" s="1"/>
  <c r="W93" i="1" s="1"/>
  <c r="CQ93" i="1"/>
  <c r="P93" i="1" s="1"/>
  <c r="K186" i="5" s="1"/>
  <c r="CV93" i="1"/>
  <c r="FR93" i="1"/>
  <c r="GL93" i="1"/>
  <c r="GO93" i="1"/>
  <c r="GP93" i="1"/>
  <c r="GV93" i="1"/>
  <c r="HC93" i="1" s="1"/>
  <c r="GX93" i="1" s="1"/>
  <c r="AC94" i="1"/>
  <c r="AE94" i="1"/>
  <c r="CS94" i="1" s="1"/>
  <c r="AF94" i="1"/>
  <c r="CT94" i="1" s="1"/>
  <c r="S94" i="1" s="1"/>
  <c r="AG94" i="1"/>
  <c r="CU94" i="1" s="1"/>
  <c r="T94" i="1" s="1"/>
  <c r="AH94" i="1"/>
  <c r="CV94" i="1" s="1"/>
  <c r="AI94" i="1"/>
  <c r="CW94" i="1" s="1"/>
  <c r="AJ94" i="1"/>
  <c r="CX94" i="1" s="1"/>
  <c r="W94" i="1" s="1"/>
  <c r="CQ94" i="1"/>
  <c r="P94" i="1" s="1"/>
  <c r="FR94" i="1"/>
  <c r="GL94" i="1"/>
  <c r="GO94" i="1"/>
  <c r="GP94" i="1"/>
  <c r="GV94" i="1"/>
  <c r="HC94" i="1" s="1"/>
  <c r="GX94" i="1" s="1"/>
  <c r="B96" i="1"/>
  <c r="B73" i="1" s="1"/>
  <c r="C96" i="1"/>
  <c r="C73" i="1" s="1"/>
  <c r="D96" i="1"/>
  <c r="D73" i="1" s="1"/>
  <c r="F96" i="1"/>
  <c r="F73" i="1" s="1"/>
  <c r="G96" i="1"/>
  <c r="BX96" i="1"/>
  <c r="BX73" i="1" s="1"/>
  <c r="BY96" i="1"/>
  <c r="BY73" i="1" s="1"/>
  <c r="CK96" i="1"/>
  <c r="CK73" i="1" s="1"/>
  <c r="CL96" i="1"/>
  <c r="CL73" i="1" s="1"/>
  <c r="CM96" i="1"/>
  <c r="CM73" i="1" s="1"/>
  <c r="D126" i="1"/>
  <c r="E128" i="1"/>
  <c r="Z128" i="1"/>
  <c r="AA128" i="1"/>
  <c r="AM128" i="1"/>
  <c r="AN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CN128" i="1"/>
  <c r="CO128" i="1"/>
  <c r="CP128" i="1"/>
  <c r="CQ128" i="1"/>
  <c r="CR128" i="1"/>
  <c r="CS128" i="1"/>
  <c r="CT128" i="1"/>
  <c r="CU128" i="1"/>
  <c r="CV128" i="1"/>
  <c r="CW128" i="1"/>
  <c r="CX128" i="1"/>
  <c r="CY128" i="1"/>
  <c r="CZ128" i="1"/>
  <c r="DA128" i="1"/>
  <c r="DB128" i="1"/>
  <c r="DC128" i="1"/>
  <c r="DD128" i="1"/>
  <c r="DE128" i="1"/>
  <c r="DF128" i="1"/>
  <c r="DG128" i="1"/>
  <c r="DH128" i="1"/>
  <c r="DI128" i="1"/>
  <c r="DJ128" i="1"/>
  <c r="DK128" i="1"/>
  <c r="DL128" i="1"/>
  <c r="DM128" i="1"/>
  <c r="DN128" i="1"/>
  <c r="DO128" i="1"/>
  <c r="DP128" i="1"/>
  <c r="DQ128" i="1"/>
  <c r="DR128" i="1"/>
  <c r="DS128" i="1"/>
  <c r="DT128" i="1"/>
  <c r="DU128" i="1"/>
  <c r="DV128" i="1"/>
  <c r="DW128" i="1"/>
  <c r="DX128" i="1"/>
  <c r="DY128" i="1"/>
  <c r="DZ128" i="1"/>
  <c r="EA128" i="1"/>
  <c r="EB128" i="1"/>
  <c r="EC128" i="1"/>
  <c r="ED128" i="1"/>
  <c r="EE128" i="1"/>
  <c r="EF128" i="1"/>
  <c r="EG128" i="1"/>
  <c r="EH128" i="1"/>
  <c r="EI128" i="1"/>
  <c r="EJ128" i="1"/>
  <c r="EK128" i="1"/>
  <c r="EL128" i="1"/>
  <c r="EM128" i="1"/>
  <c r="EN128" i="1"/>
  <c r="EO128" i="1"/>
  <c r="EP128" i="1"/>
  <c r="EQ128" i="1"/>
  <c r="ER128" i="1"/>
  <c r="ES128" i="1"/>
  <c r="ET128" i="1"/>
  <c r="EU128" i="1"/>
  <c r="EV128" i="1"/>
  <c r="EW128" i="1"/>
  <c r="EX128" i="1"/>
  <c r="EY128" i="1"/>
  <c r="EZ128" i="1"/>
  <c r="FA128" i="1"/>
  <c r="FB128" i="1"/>
  <c r="FC128" i="1"/>
  <c r="FD128" i="1"/>
  <c r="FE128" i="1"/>
  <c r="FF128" i="1"/>
  <c r="FG128" i="1"/>
  <c r="FH128" i="1"/>
  <c r="FI128" i="1"/>
  <c r="FJ128" i="1"/>
  <c r="FK128" i="1"/>
  <c r="FL128" i="1"/>
  <c r="FM128" i="1"/>
  <c r="FN128" i="1"/>
  <c r="FO128" i="1"/>
  <c r="FP128" i="1"/>
  <c r="FQ128" i="1"/>
  <c r="FR128" i="1"/>
  <c r="FS128" i="1"/>
  <c r="FT128" i="1"/>
  <c r="FU128" i="1"/>
  <c r="FV128" i="1"/>
  <c r="FW128" i="1"/>
  <c r="FX128" i="1"/>
  <c r="FY128" i="1"/>
  <c r="FZ128" i="1"/>
  <c r="GA128" i="1"/>
  <c r="GB128" i="1"/>
  <c r="GC128" i="1"/>
  <c r="GD128" i="1"/>
  <c r="GE128" i="1"/>
  <c r="GF128" i="1"/>
  <c r="GG128" i="1"/>
  <c r="GH128" i="1"/>
  <c r="GI128" i="1"/>
  <c r="GJ128" i="1"/>
  <c r="GK128" i="1"/>
  <c r="GL128" i="1"/>
  <c r="GM128" i="1"/>
  <c r="GN128" i="1"/>
  <c r="GO128" i="1"/>
  <c r="GP128" i="1"/>
  <c r="GQ128" i="1"/>
  <c r="GR128" i="1"/>
  <c r="GS128" i="1"/>
  <c r="GT128" i="1"/>
  <c r="GU128" i="1"/>
  <c r="GV128" i="1"/>
  <c r="GW128" i="1"/>
  <c r="GX128" i="1"/>
  <c r="I130" i="1"/>
  <c r="O130" i="1"/>
  <c r="P130" i="1"/>
  <c r="Q130" i="1"/>
  <c r="AD133" i="1" s="1"/>
  <c r="Q133" i="1" s="1"/>
  <c r="R130" i="1"/>
  <c r="S130" i="1"/>
  <c r="T130" i="1"/>
  <c r="AG133" i="1" s="1"/>
  <c r="T133" i="1" s="1"/>
  <c r="U130" i="1"/>
  <c r="L211" i="5" s="1"/>
  <c r="Q211" i="5" s="1"/>
  <c r="V130" i="1"/>
  <c r="W130" i="1"/>
  <c r="X130" i="1"/>
  <c r="T210" i="5" s="1"/>
  <c r="Y130" i="1"/>
  <c r="V210" i="5" s="1"/>
  <c r="AB130" i="1"/>
  <c r="AC130" i="1"/>
  <c r="AD130" i="1"/>
  <c r="AE130" i="1"/>
  <c r="AF130" i="1"/>
  <c r="AG130" i="1"/>
  <c r="AH130" i="1"/>
  <c r="AI130" i="1"/>
  <c r="AJ130" i="1"/>
  <c r="FR130" i="1"/>
  <c r="GL130" i="1"/>
  <c r="GO130" i="1"/>
  <c r="CC133" i="1" s="1"/>
  <c r="CC128" i="1" s="1"/>
  <c r="GP130" i="1"/>
  <c r="CD133" i="1" s="1"/>
  <c r="CD128" i="1" s="1"/>
  <c r="GV130" i="1"/>
  <c r="GX130" i="1"/>
  <c r="I131" i="1"/>
  <c r="O131" i="1"/>
  <c r="AB133" i="1" s="1"/>
  <c r="P131" i="1"/>
  <c r="Q131" i="1"/>
  <c r="R131" i="1"/>
  <c r="S131" i="1"/>
  <c r="AF133" i="1" s="1"/>
  <c r="T131" i="1"/>
  <c r="U131" i="1"/>
  <c r="L213" i="5" s="1"/>
  <c r="Q213" i="5" s="1"/>
  <c r="V131" i="1"/>
  <c r="W131" i="1"/>
  <c r="AJ133" i="1" s="1"/>
  <c r="X131" i="1"/>
  <c r="T212" i="5" s="1"/>
  <c r="Y131" i="1"/>
  <c r="V212" i="5" s="1"/>
  <c r="AB131" i="1"/>
  <c r="AC131" i="1"/>
  <c r="AD131" i="1"/>
  <c r="AE131" i="1"/>
  <c r="AF131" i="1"/>
  <c r="AG131" i="1"/>
  <c r="AH131" i="1"/>
  <c r="AI131" i="1"/>
  <c r="AJ131" i="1"/>
  <c r="FR131" i="1"/>
  <c r="BY133" i="1" s="1"/>
  <c r="GL131" i="1"/>
  <c r="GO131" i="1"/>
  <c r="GP131" i="1"/>
  <c r="GV131" i="1"/>
  <c r="GX131" i="1"/>
  <c r="B133" i="1"/>
  <c r="B128" i="1" s="1"/>
  <c r="C133" i="1"/>
  <c r="C128" i="1" s="1"/>
  <c r="D133" i="1"/>
  <c r="D128" i="1" s="1"/>
  <c r="F133" i="1"/>
  <c r="F128" i="1" s="1"/>
  <c r="G133" i="1"/>
  <c r="A215" i="5" s="1"/>
  <c r="AC133" i="1"/>
  <c r="CE133" i="1" s="1"/>
  <c r="CE128" i="1" s="1"/>
  <c r="AK133" i="1"/>
  <c r="X133" i="1" s="1"/>
  <c r="BX133" i="1"/>
  <c r="BX128" i="1" s="1"/>
  <c r="BZ133" i="1"/>
  <c r="CK133" i="1"/>
  <c r="CK128" i="1" s="1"/>
  <c r="CL133" i="1"/>
  <c r="CL128" i="1" s="1"/>
  <c r="B163" i="1"/>
  <c r="B22" i="1" s="1"/>
  <c r="C163" i="1"/>
  <c r="C22" i="1" s="1"/>
  <c r="D163" i="1"/>
  <c r="D22" i="1" s="1"/>
  <c r="F163" i="1"/>
  <c r="F22" i="1" s="1"/>
  <c r="G163" i="1"/>
  <c r="G22" i="1" s="1"/>
  <c r="B196" i="1"/>
  <c r="B18" i="1" s="1"/>
  <c r="C196" i="1"/>
  <c r="C18" i="1" s="1"/>
  <c r="D196" i="1"/>
  <c r="D18" i="1" s="1"/>
  <c r="F196" i="1"/>
  <c r="F18" i="1" s="1"/>
  <c r="G196" i="1"/>
  <c r="B20" i="2"/>
  <c r="B21" i="2"/>
  <c r="B24" i="2"/>
  <c r="B27" i="2"/>
  <c r="B30" i="2"/>
  <c r="B32" i="2"/>
  <c r="B33" i="2"/>
  <c r="B35" i="2"/>
  <c r="B36" i="2"/>
  <c r="B37" i="2"/>
  <c r="B40" i="2"/>
  <c r="B41" i="2"/>
  <c r="B44" i="2"/>
  <c r="B45" i="2"/>
  <c r="B46" i="2"/>
  <c r="BY128" i="1" l="1"/>
  <c r="CH133" i="1"/>
  <c r="CH128" i="1" s="1"/>
  <c r="P87" i="1"/>
  <c r="BZ73" i="1"/>
  <c r="CG96" i="1"/>
  <c r="CG73" i="1" s="1"/>
  <c r="CI133" i="1"/>
  <c r="S212" i="5"/>
  <c r="E212" i="5"/>
  <c r="U212" i="5"/>
  <c r="CT93" i="1"/>
  <c r="S93" i="1" s="1"/>
  <c r="K184" i="5" s="1"/>
  <c r="U183" i="5"/>
  <c r="H188" i="5" s="1"/>
  <c r="S183" i="5"/>
  <c r="H184" i="5"/>
  <c r="R184" i="5" s="1"/>
  <c r="E161" i="5"/>
  <c r="C162" i="5"/>
  <c r="CR78" i="1"/>
  <c r="Q78" i="1" s="1"/>
  <c r="K127" i="5" s="1"/>
  <c r="H127" i="5"/>
  <c r="CT35" i="1"/>
  <c r="AH133" i="1"/>
  <c r="U133" i="1" s="1"/>
  <c r="CJ133" i="1"/>
  <c r="G128" i="1"/>
  <c r="G73" i="1"/>
  <c r="A193" i="5"/>
  <c r="AF193" i="5"/>
  <c r="U94" i="1"/>
  <c r="AD94" i="1"/>
  <c r="CR94" i="1" s="1"/>
  <c r="Q94" i="1" s="1"/>
  <c r="H186" i="5"/>
  <c r="V88" i="1"/>
  <c r="AD88" i="1"/>
  <c r="H164" i="5" s="1"/>
  <c r="H165" i="5"/>
  <c r="R165" i="5" s="1"/>
  <c r="I87" i="1"/>
  <c r="E159" i="5" s="1"/>
  <c r="U86" i="1"/>
  <c r="P86" i="1"/>
  <c r="I85" i="1"/>
  <c r="E157" i="5" s="1"/>
  <c r="H153" i="5"/>
  <c r="U146" i="5"/>
  <c r="S146" i="5"/>
  <c r="T81" i="1"/>
  <c r="V79" i="1"/>
  <c r="E124" i="5"/>
  <c r="C125" i="5"/>
  <c r="S122" i="5"/>
  <c r="U122" i="5"/>
  <c r="W75" i="1"/>
  <c r="G26" i="1"/>
  <c r="A97" i="5"/>
  <c r="L78" i="5"/>
  <c r="Q78" i="5" s="1"/>
  <c r="L76" i="5"/>
  <c r="CT33" i="1"/>
  <c r="S61" i="5"/>
  <c r="CT29" i="1"/>
  <c r="L84" i="5"/>
  <c r="E183" i="5"/>
  <c r="G18" i="1"/>
  <c r="A221" i="5"/>
  <c r="AF221" i="5"/>
  <c r="CF133" i="1"/>
  <c r="R88" i="1"/>
  <c r="K165" i="5" s="1"/>
  <c r="V87" i="1"/>
  <c r="CT86" i="1"/>
  <c r="S86" i="1" s="1"/>
  <c r="S158" i="5"/>
  <c r="U158" i="5"/>
  <c r="U85" i="1"/>
  <c r="K150" i="5"/>
  <c r="G135" i="5"/>
  <c r="O135" i="5" s="1"/>
  <c r="W135" i="5"/>
  <c r="L133" i="5"/>
  <c r="Q133" i="5" s="1"/>
  <c r="L132" i="5"/>
  <c r="AL133" i="1"/>
  <c r="Y133" i="1" s="1"/>
  <c r="CP130" i="1"/>
  <c r="H210" i="5"/>
  <c r="G211" i="5" s="1"/>
  <c r="O211" i="5" s="1"/>
  <c r="AI133" i="1"/>
  <c r="AE133" i="1"/>
  <c r="S210" i="5"/>
  <c r="E210" i="5"/>
  <c r="U210" i="5"/>
  <c r="AB94" i="1"/>
  <c r="H190" i="5"/>
  <c r="W190" i="5" s="1"/>
  <c r="U181" i="5"/>
  <c r="S181" i="5"/>
  <c r="CT91" i="1"/>
  <c r="CT90" i="1"/>
  <c r="S90" i="1" s="1"/>
  <c r="K173" i="5" s="1"/>
  <c r="U172" i="5"/>
  <c r="S172" i="5"/>
  <c r="H173" i="5"/>
  <c r="R173" i="5" s="1"/>
  <c r="U88" i="1"/>
  <c r="CQ88" i="1"/>
  <c r="P88" i="1" s="1"/>
  <c r="K166" i="5" s="1"/>
  <c r="H166" i="5"/>
  <c r="GX87" i="1"/>
  <c r="W87" i="1"/>
  <c r="CT87" i="1"/>
  <c r="S87" i="1" s="1"/>
  <c r="S159" i="5"/>
  <c r="U159" i="5"/>
  <c r="V85" i="1"/>
  <c r="H150" i="5"/>
  <c r="R150" i="5" s="1"/>
  <c r="U148" i="5"/>
  <c r="S148" i="5"/>
  <c r="CT82" i="1"/>
  <c r="U145" i="5"/>
  <c r="S145" i="5"/>
  <c r="S136" i="5"/>
  <c r="H138" i="5"/>
  <c r="CX39" i="3"/>
  <c r="C137" i="5"/>
  <c r="E136" i="5"/>
  <c r="AD32" i="1"/>
  <c r="H65" i="5"/>
  <c r="R65" i="5" s="1"/>
  <c r="CS32" i="1"/>
  <c r="R32" i="1" s="1"/>
  <c r="K65" i="5" s="1"/>
  <c r="V29" i="1"/>
  <c r="U43" i="5"/>
  <c r="CT28" i="1"/>
  <c r="S28" i="1" s="1"/>
  <c r="K45" i="5" s="1"/>
  <c r="H45" i="5"/>
  <c r="R45" i="5" s="1"/>
  <c r="CX1" i="3"/>
  <c r="I29" i="1"/>
  <c r="P29" i="1" s="1"/>
  <c r="E43" i="5"/>
  <c r="C44" i="5"/>
  <c r="L70" i="5"/>
  <c r="Q70" i="5" s="1"/>
  <c r="E172" i="5"/>
  <c r="CP131" i="1"/>
  <c r="H212" i="5"/>
  <c r="G213" i="5" s="1"/>
  <c r="O213" i="5" s="1"/>
  <c r="G215" i="5" s="1"/>
  <c r="U190" i="5"/>
  <c r="S190" i="5"/>
  <c r="AD90" i="1"/>
  <c r="H174" i="5" s="1"/>
  <c r="H175" i="5"/>
  <c r="R175" i="5" s="1"/>
  <c r="T88" i="1"/>
  <c r="R87" i="1"/>
  <c r="GX85" i="1"/>
  <c r="K153" i="5"/>
  <c r="K134" i="5"/>
  <c r="J135" i="5" s="1"/>
  <c r="P135" i="5" s="1"/>
  <c r="CT31" i="1"/>
  <c r="U136" i="5"/>
  <c r="H158" i="5"/>
  <c r="W158" i="5" s="1"/>
  <c r="V94" i="1"/>
  <c r="R94" i="1"/>
  <c r="U93" i="1"/>
  <c r="V93" i="1"/>
  <c r="R93" i="1"/>
  <c r="CT92" i="1"/>
  <c r="S92" i="1" s="1"/>
  <c r="AD92" i="1"/>
  <c r="CR92" i="1" s="1"/>
  <c r="Q92" i="1" s="1"/>
  <c r="L182" i="5"/>
  <c r="Q182" i="5" s="1"/>
  <c r="L179" i="5"/>
  <c r="CQ90" i="1"/>
  <c r="P90" i="1" s="1"/>
  <c r="K176" i="5" s="1"/>
  <c r="H176" i="5"/>
  <c r="CT89" i="1"/>
  <c r="W88" i="1"/>
  <c r="CT88" i="1"/>
  <c r="S88" i="1" s="1"/>
  <c r="K163" i="5" s="1"/>
  <c r="U161" i="5"/>
  <c r="S161" i="5"/>
  <c r="H163" i="5"/>
  <c r="R163" i="5" s="1"/>
  <c r="T87" i="1"/>
  <c r="V86" i="1"/>
  <c r="T85" i="1"/>
  <c r="CQ85" i="1"/>
  <c r="P85" i="1" s="1"/>
  <c r="H157" i="5"/>
  <c r="W157" i="5" s="1"/>
  <c r="CY84" i="1"/>
  <c r="X84" i="1" s="1"/>
  <c r="T148" i="5" s="1"/>
  <c r="CS84" i="1"/>
  <c r="R84" i="1" s="1"/>
  <c r="K152" i="5" s="1"/>
  <c r="L160" i="5"/>
  <c r="Q160" i="5" s="1"/>
  <c r="L156" i="5"/>
  <c r="AD84" i="1"/>
  <c r="S83" i="1"/>
  <c r="T83" i="1"/>
  <c r="CS82" i="1"/>
  <c r="R82" i="1" s="1"/>
  <c r="U82" i="1"/>
  <c r="I82" i="1"/>
  <c r="E145" i="5" s="1"/>
  <c r="U81" i="1"/>
  <c r="H141" i="5"/>
  <c r="V80" i="1"/>
  <c r="W80" i="1"/>
  <c r="CT80" i="1"/>
  <c r="S80" i="1" s="1"/>
  <c r="U134" i="5"/>
  <c r="S134" i="5"/>
  <c r="CX23" i="3"/>
  <c r="E112" i="5"/>
  <c r="C113" i="5"/>
  <c r="I76" i="1"/>
  <c r="E121" i="5" s="1"/>
  <c r="CR38" i="1"/>
  <c r="Q38" i="1" s="1"/>
  <c r="K90" i="5" s="1"/>
  <c r="H90" i="5"/>
  <c r="AD34" i="1"/>
  <c r="CR34" i="1" s="1"/>
  <c r="Q34" i="1" s="1"/>
  <c r="CS34" i="1"/>
  <c r="R34" i="1" s="1"/>
  <c r="AD30" i="1"/>
  <c r="H55" i="5"/>
  <c r="R55" i="5" s="1"/>
  <c r="CS30" i="1"/>
  <c r="R30" i="1" s="1"/>
  <c r="K55" i="5" s="1"/>
  <c r="GX28" i="1"/>
  <c r="BZ41" i="1"/>
  <c r="AQ41" i="1" s="1"/>
  <c r="H114" i="5"/>
  <c r="C149" i="5"/>
  <c r="W78" i="1"/>
  <c r="CT78" i="1"/>
  <c r="S78" i="1" s="1"/>
  <c r="K126" i="5" s="1"/>
  <c r="U124" i="5"/>
  <c r="H131" i="5" s="1"/>
  <c r="S124" i="5"/>
  <c r="H130" i="5" s="1"/>
  <c r="U77" i="1"/>
  <c r="W76" i="1"/>
  <c r="CT76" i="1"/>
  <c r="S76" i="1" s="1"/>
  <c r="V75" i="1"/>
  <c r="AD75" i="1"/>
  <c r="H116" i="5"/>
  <c r="R116" i="5" s="1"/>
  <c r="CG41" i="1"/>
  <c r="AX41" i="1" s="1"/>
  <c r="V39" i="1"/>
  <c r="CT37" i="1"/>
  <c r="S37" i="1" s="1"/>
  <c r="S85" i="5"/>
  <c r="CS35" i="1"/>
  <c r="CS33" i="1"/>
  <c r="CS31" i="1"/>
  <c r="CS29" i="1"/>
  <c r="R29" i="1" s="1"/>
  <c r="R28" i="1"/>
  <c r="U28" i="1"/>
  <c r="Q28" i="1"/>
  <c r="G29" i="5"/>
  <c r="S51" i="5"/>
  <c r="C52" i="5"/>
  <c r="U61" i="5"/>
  <c r="H69" i="5"/>
  <c r="W69" i="5" s="1"/>
  <c r="U71" i="5"/>
  <c r="H81" i="5"/>
  <c r="R81" i="5" s="1"/>
  <c r="H117" i="5"/>
  <c r="U121" i="5"/>
  <c r="U75" i="1"/>
  <c r="P75" i="1"/>
  <c r="K117" i="5" s="1"/>
  <c r="CQ39" i="1"/>
  <c r="P39" i="1" s="1"/>
  <c r="H94" i="5"/>
  <c r="W94" i="5" s="1"/>
  <c r="U38" i="1"/>
  <c r="V37" i="1"/>
  <c r="CQ35" i="1"/>
  <c r="I35" i="1"/>
  <c r="E77" i="5" s="1"/>
  <c r="I33" i="1"/>
  <c r="E69" i="5" s="1"/>
  <c r="CQ31" i="1"/>
  <c r="I31" i="1"/>
  <c r="E59" i="5" s="1"/>
  <c r="V28" i="1"/>
  <c r="P28" i="1"/>
  <c r="AB28" i="1"/>
  <c r="U51" i="5"/>
  <c r="E61" i="5"/>
  <c r="E71" i="5"/>
  <c r="S79" i="5"/>
  <c r="C80" i="5"/>
  <c r="H126" i="5"/>
  <c r="G133" i="5" s="1"/>
  <c r="O133" i="5" s="1"/>
  <c r="U112" i="5"/>
  <c r="S112" i="5"/>
  <c r="W39" i="1"/>
  <c r="CT39" i="1"/>
  <c r="S39" i="1" s="1"/>
  <c r="U94" i="5"/>
  <c r="S94" i="5"/>
  <c r="H91" i="5" s="1"/>
  <c r="CT38" i="1"/>
  <c r="S38" i="1" s="1"/>
  <c r="K89" i="5" s="1"/>
  <c r="U87" i="5"/>
  <c r="H92" i="5" s="1"/>
  <c r="CX19" i="3"/>
  <c r="E87" i="5"/>
  <c r="C88" i="5"/>
  <c r="GX35" i="1"/>
  <c r="T33" i="1"/>
  <c r="GX31" i="1"/>
  <c r="GX29" i="1"/>
  <c r="T29" i="1"/>
  <c r="C62" i="5"/>
  <c r="C72" i="5"/>
  <c r="E79" i="5"/>
  <c r="U85" i="5"/>
  <c r="H83" i="5" s="1"/>
  <c r="G28" i="5"/>
  <c r="L215" i="5"/>
  <c r="G30" i="5"/>
  <c r="H119" i="5"/>
  <c r="R53" i="5"/>
  <c r="R114" i="5"/>
  <c r="R138" i="5"/>
  <c r="R63" i="5"/>
  <c r="F155" i="1"/>
  <c r="U128" i="1"/>
  <c r="CI128" i="1"/>
  <c r="AZ133" i="1"/>
  <c r="CF128" i="1"/>
  <c r="AW133" i="1"/>
  <c r="GN131" i="1"/>
  <c r="GM131" i="1"/>
  <c r="Y128" i="1"/>
  <c r="F160" i="1"/>
  <c r="F145" i="1"/>
  <c r="Q128" i="1"/>
  <c r="AJ128" i="1"/>
  <c r="W133" i="1"/>
  <c r="AF128" i="1"/>
  <c r="S133" i="1"/>
  <c r="AB128" i="1"/>
  <c r="O133" i="1"/>
  <c r="GN130" i="1"/>
  <c r="CB133" i="1" s="1"/>
  <c r="GM130" i="1"/>
  <c r="K210" i="5" s="1"/>
  <c r="J211" i="5" s="1"/>
  <c r="P211" i="5" s="1"/>
  <c r="AI128" i="1"/>
  <c r="V133" i="1"/>
  <c r="AE128" i="1"/>
  <c r="R133" i="1"/>
  <c r="CZ90" i="1"/>
  <c r="Y90" i="1" s="1"/>
  <c r="V172" i="5" s="1"/>
  <c r="CY90" i="1"/>
  <c r="X90" i="1" s="1"/>
  <c r="T172" i="5" s="1"/>
  <c r="CZ87" i="1"/>
  <c r="Y87" i="1" s="1"/>
  <c r="V159" i="5" s="1"/>
  <c r="CY87" i="1"/>
  <c r="X87" i="1" s="1"/>
  <c r="T159" i="5" s="1"/>
  <c r="V92" i="1"/>
  <c r="CP94" i="1"/>
  <c r="O94" i="1" s="1"/>
  <c r="K190" i="5" s="1"/>
  <c r="W92" i="1"/>
  <c r="CY78" i="1"/>
  <c r="X78" i="1" s="1"/>
  <c r="T124" i="5" s="1"/>
  <c r="K130" i="5" s="1"/>
  <c r="CJ128" i="1"/>
  <c r="BA133" i="1"/>
  <c r="CZ94" i="1"/>
  <c r="Y94" i="1" s="1"/>
  <c r="V190" i="5" s="1"/>
  <c r="CY94" i="1"/>
  <c r="X94" i="1" s="1"/>
  <c r="T190" i="5" s="1"/>
  <c r="AB88" i="1"/>
  <c r="CR88" i="1"/>
  <c r="Q88" i="1" s="1"/>
  <c r="CP92" i="1"/>
  <c r="O92" i="1" s="1"/>
  <c r="K181" i="5" s="1"/>
  <c r="CZ88" i="1"/>
  <c r="Y88" i="1" s="1"/>
  <c r="V161" i="5" s="1"/>
  <c r="CY88" i="1"/>
  <c r="X88" i="1" s="1"/>
  <c r="T161" i="5" s="1"/>
  <c r="AB86" i="1"/>
  <c r="CR86" i="1"/>
  <c r="Q86" i="1" s="1"/>
  <c r="CP86" i="1" s="1"/>
  <c r="O86" i="1" s="1"/>
  <c r="K158" i="5" s="1"/>
  <c r="T128" i="1"/>
  <c r="F154" i="1"/>
  <c r="X128" i="1"/>
  <c r="F159" i="1"/>
  <c r="CZ93" i="1"/>
  <c r="Y93" i="1" s="1"/>
  <c r="V183" i="5" s="1"/>
  <c r="K188" i="5" s="1"/>
  <c r="CY93" i="1"/>
  <c r="X93" i="1" s="1"/>
  <c r="T183" i="5" s="1"/>
  <c r="K187" i="5" s="1"/>
  <c r="AB90" i="1"/>
  <c r="CR90" i="1"/>
  <c r="Q90" i="1" s="1"/>
  <c r="K174" i="5" s="1"/>
  <c r="CZ86" i="1"/>
  <c r="Y86" i="1" s="1"/>
  <c r="V158" i="5" s="1"/>
  <c r="CY86" i="1"/>
  <c r="X86" i="1" s="1"/>
  <c r="T158" i="5" s="1"/>
  <c r="T92" i="1"/>
  <c r="R92" i="1"/>
  <c r="CY92" i="1" s="1"/>
  <c r="X92" i="1" s="1"/>
  <c r="T181" i="5" s="1"/>
  <c r="CX47" i="3"/>
  <c r="CX51" i="3"/>
  <c r="CX48" i="3"/>
  <c r="CX52" i="3"/>
  <c r="CX49" i="3"/>
  <c r="CX53" i="3"/>
  <c r="CX50" i="3"/>
  <c r="CX54" i="3"/>
  <c r="CS81" i="1"/>
  <c r="R81" i="1" s="1"/>
  <c r="AD81" i="1"/>
  <c r="CS79" i="1"/>
  <c r="R79" i="1" s="1"/>
  <c r="CZ79" i="1" s="1"/>
  <c r="Y79" i="1" s="1"/>
  <c r="AD79" i="1"/>
  <c r="CR79" i="1" s="1"/>
  <c r="Q79" i="1" s="1"/>
  <c r="CX31" i="3"/>
  <c r="CX35" i="3"/>
  <c r="CX32" i="3"/>
  <c r="CX36" i="3"/>
  <c r="CX29" i="3"/>
  <c r="CX33" i="3"/>
  <c r="CX37" i="3"/>
  <c r="CX30" i="3"/>
  <c r="CX34" i="3"/>
  <c r="CX38" i="3"/>
  <c r="F48" i="1"/>
  <c r="AX26" i="1"/>
  <c r="AP26" i="1"/>
  <c r="F50" i="1"/>
  <c r="AB39" i="1"/>
  <c r="CR39" i="1"/>
  <c r="Q39" i="1" s="1"/>
  <c r="CZ36" i="1"/>
  <c r="Y36" i="1" s="1"/>
  <c r="V79" i="5" s="1"/>
  <c r="CY36" i="1"/>
  <c r="X36" i="1" s="1"/>
  <c r="T79" i="5" s="1"/>
  <c r="CG133" i="1"/>
  <c r="BB133" i="1"/>
  <c r="AT133" i="1"/>
  <c r="AP133" i="1"/>
  <c r="AK128" i="1"/>
  <c r="AG128" i="1"/>
  <c r="AC128" i="1"/>
  <c r="AO96" i="1"/>
  <c r="CP78" i="1"/>
  <c r="O78" i="1" s="1"/>
  <c r="CQ83" i="1"/>
  <c r="P83" i="1" s="1"/>
  <c r="BB26" i="1"/>
  <c r="F54" i="1"/>
  <c r="AQ26" i="1"/>
  <c r="F51" i="1"/>
  <c r="CZ38" i="1"/>
  <c r="Y38" i="1" s="1"/>
  <c r="V87" i="5" s="1"/>
  <c r="CY38" i="1"/>
  <c r="X38" i="1" s="1"/>
  <c r="T87" i="5" s="1"/>
  <c r="AB35" i="1"/>
  <c r="CR35" i="1"/>
  <c r="Q35" i="1" s="1"/>
  <c r="CZ34" i="1"/>
  <c r="Y34" i="1" s="1"/>
  <c r="V71" i="5" s="1"/>
  <c r="CY34" i="1"/>
  <c r="X34" i="1" s="1"/>
  <c r="T71" i="5" s="1"/>
  <c r="AB33" i="1"/>
  <c r="CR33" i="1"/>
  <c r="Q33" i="1" s="1"/>
  <c r="CZ32" i="1"/>
  <c r="Y32" i="1" s="1"/>
  <c r="V61" i="5" s="1"/>
  <c r="CY32" i="1"/>
  <c r="X32" i="1" s="1"/>
  <c r="T61" i="5" s="1"/>
  <c r="AB31" i="1"/>
  <c r="CR31" i="1"/>
  <c r="Q31" i="1" s="1"/>
  <c r="CZ30" i="1"/>
  <c r="Y30" i="1" s="1"/>
  <c r="V51" i="5" s="1"/>
  <c r="CY30" i="1"/>
  <c r="X30" i="1" s="1"/>
  <c r="T51" i="5" s="1"/>
  <c r="AB29" i="1"/>
  <c r="CR29" i="1"/>
  <c r="Q29" i="1" s="1"/>
  <c r="CZ28" i="1"/>
  <c r="Y28" i="1" s="1"/>
  <c r="V43" i="5" s="1"/>
  <c r="CY28" i="1"/>
  <c r="X28" i="1" s="1"/>
  <c r="T43" i="5" s="1"/>
  <c r="BC133" i="1"/>
  <c r="AY133" i="1"/>
  <c r="AU133" i="1"/>
  <c r="AQ133" i="1"/>
  <c r="BZ128" i="1"/>
  <c r="AL128" i="1"/>
  <c r="AH128" i="1"/>
  <c r="AD128" i="1"/>
  <c r="BB96" i="1"/>
  <c r="AX96" i="1"/>
  <c r="AT96" i="1"/>
  <c r="AP96" i="1"/>
  <c r="AD93" i="1"/>
  <c r="H185" i="5" s="1"/>
  <c r="AD91" i="1"/>
  <c r="AD89" i="1"/>
  <c r="AD87" i="1"/>
  <c r="H159" i="5" s="1"/>
  <c r="W159" i="5" s="1"/>
  <c r="AB85" i="1"/>
  <c r="AB82" i="1"/>
  <c r="AB80" i="1"/>
  <c r="CP36" i="1"/>
  <c r="O36" i="1" s="1"/>
  <c r="CP34" i="1"/>
  <c r="O34" i="1" s="1"/>
  <c r="CX67" i="3"/>
  <c r="CX71" i="3"/>
  <c r="CX68" i="3"/>
  <c r="CX72" i="3"/>
  <c r="CX69" i="3"/>
  <c r="CX73" i="3"/>
  <c r="CX66" i="3"/>
  <c r="CX70" i="3"/>
  <c r="CX74" i="3"/>
  <c r="CX55" i="3"/>
  <c r="CX59" i="3"/>
  <c r="CX63" i="3"/>
  <c r="CX56" i="3"/>
  <c r="CX60" i="3"/>
  <c r="CX64" i="3"/>
  <c r="CX57" i="3"/>
  <c r="CX61" i="3"/>
  <c r="CX65" i="3"/>
  <c r="CX58" i="3"/>
  <c r="CX62" i="3"/>
  <c r="AD83" i="1"/>
  <c r="CR83" i="1" s="1"/>
  <c r="Q83" i="1" s="1"/>
  <c r="CS83" i="1"/>
  <c r="R83" i="1" s="1"/>
  <c r="CZ83" i="1" s="1"/>
  <c r="Y83" i="1" s="1"/>
  <c r="V146" i="5" s="1"/>
  <c r="F57" i="1"/>
  <c r="BC26" i="1"/>
  <c r="AT26" i="1"/>
  <c r="F59" i="1"/>
  <c r="AV133" i="1"/>
  <c r="P133" i="1"/>
  <c r="BC96" i="1"/>
  <c r="AU96" i="1"/>
  <c r="AQ96" i="1"/>
  <c r="CX75" i="3"/>
  <c r="CX79" i="3"/>
  <c r="CX76" i="3"/>
  <c r="CX77" i="3"/>
  <c r="CX78" i="3"/>
  <c r="AB81" i="1"/>
  <c r="CQ81" i="1"/>
  <c r="P81" i="1" s="1"/>
  <c r="CQ79" i="1"/>
  <c r="P79" i="1" s="1"/>
  <c r="CP79" i="1" s="1"/>
  <c r="O79" i="1" s="1"/>
  <c r="AU26" i="1"/>
  <c r="F60" i="1"/>
  <c r="AB37" i="1"/>
  <c r="CR37" i="1"/>
  <c r="Q37" i="1" s="1"/>
  <c r="CP37" i="1" s="1"/>
  <c r="O37" i="1" s="1"/>
  <c r="K85" i="5" s="1"/>
  <c r="CP28" i="1"/>
  <c r="O28" i="1" s="1"/>
  <c r="AO133" i="1"/>
  <c r="CI96" i="1"/>
  <c r="BD96" i="1"/>
  <c r="I91" i="1"/>
  <c r="I89" i="1"/>
  <c r="H170" i="5" s="1"/>
  <c r="W170" i="5" s="1"/>
  <c r="CY81" i="1"/>
  <c r="X81" i="1" s="1"/>
  <c r="T136" i="5" s="1"/>
  <c r="CY79" i="1"/>
  <c r="X79" i="1" s="1"/>
  <c r="CZ78" i="1"/>
  <c r="Y78" i="1" s="1"/>
  <c r="V124" i="5" s="1"/>
  <c r="K131" i="5" s="1"/>
  <c r="AB78" i="1"/>
  <c r="CY77" i="1"/>
  <c r="X77" i="1" s="1"/>
  <c r="T122" i="5" s="1"/>
  <c r="CP39" i="1"/>
  <c r="O39" i="1" s="1"/>
  <c r="K94" i="5" s="1"/>
  <c r="CI41" i="1"/>
  <c r="BD41" i="1"/>
  <c r="AB38" i="1"/>
  <c r="AB36" i="1"/>
  <c r="AB34" i="1"/>
  <c r="AB32" i="1"/>
  <c r="AB30" i="1"/>
  <c r="CK26" i="1"/>
  <c r="CG26" i="1"/>
  <c r="CC26" i="1"/>
  <c r="BY26" i="1"/>
  <c r="CX46" i="3"/>
  <c r="CX42" i="3"/>
  <c r="CX26" i="3"/>
  <c r="CX22" i="3"/>
  <c r="CX18" i="3"/>
  <c r="CX14" i="3"/>
  <c r="CX10" i="3"/>
  <c r="CX6" i="3"/>
  <c r="CX2" i="3"/>
  <c r="CQ77" i="1"/>
  <c r="P77" i="1" s="1"/>
  <c r="AD77" i="1"/>
  <c r="CR77" i="1" s="1"/>
  <c r="Q77" i="1" s="1"/>
  <c r="CS75" i="1"/>
  <c r="R75" i="1" s="1"/>
  <c r="AB75" i="1"/>
  <c r="AO41" i="1"/>
  <c r="CS39" i="1"/>
  <c r="R39" i="1" s="1"/>
  <c r="CZ39" i="1" s="1"/>
  <c r="Y39" i="1" s="1"/>
  <c r="V94" i="5" s="1"/>
  <c r="CS37" i="1"/>
  <c r="R37" i="1" s="1"/>
  <c r="CZ37" i="1" s="1"/>
  <c r="Y37" i="1" s="1"/>
  <c r="V85" i="5" s="1"/>
  <c r="K83" i="5" s="1"/>
  <c r="CL26" i="1"/>
  <c r="CD26" i="1"/>
  <c r="BZ26" i="1"/>
  <c r="CX45" i="3"/>
  <c r="CX41" i="3"/>
  <c r="CX25" i="3"/>
  <c r="CX21" i="3"/>
  <c r="CX17" i="3"/>
  <c r="CX9" i="3"/>
  <c r="CX5" i="3"/>
  <c r="AB76" i="1"/>
  <c r="CX44" i="3"/>
  <c r="CX40" i="3"/>
  <c r="CX28" i="3"/>
  <c r="CX24" i="3"/>
  <c r="CX20" i="3"/>
  <c r="CX16" i="3"/>
  <c r="CX12" i="3"/>
  <c r="CX8" i="3"/>
  <c r="CX4" i="3"/>
  <c r="CX43" i="3"/>
  <c r="CX27" i="3"/>
  <c r="CX11" i="3"/>
  <c r="W133" i="5" l="1"/>
  <c r="J133" i="5"/>
  <c r="P133" i="5" s="1"/>
  <c r="R126" i="5"/>
  <c r="W211" i="5"/>
  <c r="W213" i="5"/>
  <c r="G95" i="5"/>
  <c r="O95" i="5" s="1"/>
  <c r="W95" i="5"/>
  <c r="CP29" i="1"/>
  <c r="O29" i="1" s="1"/>
  <c r="K49" i="5" s="1"/>
  <c r="CY75" i="1"/>
  <c r="X75" i="1" s="1"/>
  <c r="T112" i="5" s="1"/>
  <c r="K116" i="5"/>
  <c r="U91" i="1"/>
  <c r="E180" i="5"/>
  <c r="CP81" i="1"/>
  <c r="O81" i="1" s="1"/>
  <c r="GM81" i="1" s="1"/>
  <c r="K141" i="5"/>
  <c r="K92" i="5"/>
  <c r="CZ81" i="1"/>
  <c r="Y81" i="1" s="1"/>
  <c r="V136" i="5" s="1"/>
  <c r="K140" i="5"/>
  <c r="T31" i="1"/>
  <c r="AG41" i="1" s="1"/>
  <c r="T35" i="1"/>
  <c r="L95" i="5"/>
  <c r="Q95" i="5" s="1"/>
  <c r="L93" i="5"/>
  <c r="L123" i="5"/>
  <c r="Q123" i="5" s="1"/>
  <c r="L120" i="5"/>
  <c r="H56" i="5"/>
  <c r="R35" i="1"/>
  <c r="S121" i="5"/>
  <c r="V31" i="1"/>
  <c r="CR84" i="1"/>
  <c r="Q84" i="1" s="1"/>
  <c r="H151" i="5"/>
  <c r="S170" i="5"/>
  <c r="H167" i="5" s="1"/>
  <c r="L191" i="5"/>
  <c r="Q191" i="5" s="1"/>
  <c r="L189" i="5"/>
  <c r="H143" i="5"/>
  <c r="GX82" i="1"/>
  <c r="H142" i="5"/>
  <c r="W82" i="1"/>
  <c r="AB84" i="1"/>
  <c r="U180" i="5"/>
  <c r="H178" i="5" s="1"/>
  <c r="W35" i="1"/>
  <c r="U49" i="5"/>
  <c r="H47" i="5" s="1"/>
  <c r="H59" i="5"/>
  <c r="W59" i="5" s="1"/>
  <c r="S69" i="5"/>
  <c r="H66" i="5" s="1"/>
  <c r="S157" i="5"/>
  <c r="H181" i="5"/>
  <c r="W181" i="5" s="1"/>
  <c r="S35" i="1"/>
  <c r="U87" i="1"/>
  <c r="H187" i="5"/>
  <c r="G191" i="5" s="1"/>
  <c r="O191" i="5" s="1"/>
  <c r="HD131" i="1"/>
  <c r="K212" i="5"/>
  <c r="J213" i="5" s="1"/>
  <c r="P213" i="5" s="1"/>
  <c r="J215" i="5" s="1"/>
  <c r="G32" i="5"/>
  <c r="U170" i="5"/>
  <c r="H168" i="5" s="1"/>
  <c r="S59" i="5"/>
  <c r="R76" i="1"/>
  <c r="E49" i="5"/>
  <c r="H49" i="5"/>
  <c r="W49" i="5" s="1"/>
  <c r="CR32" i="1"/>
  <c r="Q32" i="1" s="1"/>
  <c r="H64" i="5"/>
  <c r="H154" i="5"/>
  <c r="L171" i="5"/>
  <c r="Q171" i="5" s="1"/>
  <c r="L169" i="5"/>
  <c r="U76" i="1"/>
  <c r="CZ84" i="1"/>
  <c r="Y84" i="1" s="1"/>
  <c r="V148" i="5" s="1"/>
  <c r="S49" i="5"/>
  <c r="H46" i="5" s="1"/>
  <c r="U31" i="1"/>
  <c r="S33" i="1"/>
  <c r="H77" i="5"/>
  <c r="W77" i="5" s="1"/>
  <c r="H145" i="5"/>
  <c r="W145" i="5" s="1"/>
  <c r="W85" i="1"/>
  <c r="AB92" i="1"/>
  <c r="W31" i="1"/>
  <c r="Q76" i="1"/>
  <c r="T82" i="1"/>
  <c r="Q82" i="1"/>
  <c r="P35" i="1"/>
  <c r="CP35" i="1" s="1"/>
  <c r="O35" i="1" s="1"/>
  <c r="K77" i="5" s="1"/>
  <c r="R31" i="1"/>
  <c r="CR75" i="1"/>
  <c r="Q75" i="1" s="1"/>
  <c r="H115" i="5"/>
  <c r="S77" i="5"/>
  <c r="H74" i="5" s="1"/>
  <c r="T76" i="1"/>
  <c r="CZ80" i="1"/>
  <c r="Y80" i="1" s="1"/>
  <c r="V134" i="5" s="1"/>
  <c r="CY80" i="1"/>
  <c r="X80" i="1" s="1"/>
  <c r="T134" i="5" s="1"/>
  <c r="L147" i="5"/>
  <c r="Q147" i="5" s="1"/>
  <c r="L144" i="5"/>
  <c r="U59" i="5"/>
  <c r="H57" i="5" s="1"/>
  <c r="V33" i="1"/>
  <c r="U29" i="1"/>
  <c r="H122" i="5"/>
  <c r="W122" i="5" s="1"/>
  <c r="S29" i="1"/>
  <c r="W33" i="1"/>
  <c r="U35" i="1"/>
  <c r="P82" i="1"/>
  <c r="U33" i="1"/>
  <c r="V82" i="1"/>
  <c r="T89" i="1"/>
  <c r="E170" i="5"/>
  <c r="AB79" i="1"/>
  <c r="CR81" i="1"/>
  <c r="Q81" i="1" s="1"/>
  <c r="K139" i="5" s="1"/>
  <c r="H139" i="5"/>
  <c r="CP90" i="1"/>
  <c r="O90" i="1" s="1"/>
  <c r="GN90" i="1" s="1"/>
  <c r="CP88" i="1"/>
  <c r="O88" i="1" s="1"/>
  <c r="K164" i="5"/>
  <c r="GX33" i="1"/>
  <c r="CJ41" i="1" s="1"/>
  <c r="CJ26" i="1" s="1"/>
  <c r="H118" i="5"/>
  <c r="H82" i="5"/>
  <c r="P31" i="1"/>
  <c r="AC41" i="1" s="1"/>
  <c r="L50" i="5"/>
  <c r="Q50" i="5" s="1"/>
  <c r="L48" i="5"/>
  <c r="R33" i="1"/>
  <c r="CR30" i="1"/>
  <c r="Q30" i="1" s="1"/>
  <c r="AD41" i="1" s="1"/>
  <c r="H54" i="5"/>
  <c r="V35" i="1"/>
  <c r="P76" i="1"/>
  <c r="CP76" i="1" s="1"/>
  <c r="O76" i="1" s="1"/>
  <c r="K121" i="5" s="1"/>
  <c r="H180" i="5"/>
  <c r="W180" i="5" s="1"/>
  <c r="S31" i="1"/>
  <c r="CP80" i="1"/>
  <c r="O80" i="1" s="1"/>
  <c r="Q85" i="1"/>
  <c r="CP85" i="1" s="1"/>
  <c r="O85" i="1" s="1"/>
  <c r="V76" i="1"/>
  <c r="S82" i="1"/>
  <c r="S180" i="5"/>
  <c r="H177" i="5" s="1"/>
  <c r="P33" i="1"/>
  <c r="H146" i="5"/>
  <c r="W146" i="5" s="1"/>
  <c r="S85" i="1"/>
  <c r="W29" i="1"/>
  <c r="U69" i="5"/>
  <c r="H67" i="5" s="1"/>
  <c r="CP38" i="1"/>
  <c r="O38" i="1" s="1"/>
  <c r="U157" i="5"/>
  <c r="H155" i="5" s="1"/>
  <c r="U77" i="5"/>
  <c r="H75" i="5" s="1"/>
  <c r="G78" i="5" s="1"/>
  <c r="O78" i="5" s="1"/>
  <c r="GX76" i="1"/>
  <c r="H121" i="5"/>
  <c r="W121" i="5" s="1"/>
  <c r="R85" i="1"/>
  <c r="GN86" i="1"/>
  <c r="GM86" i="1"/>
  <c r="GN88" i="1"/>
  <c r="GM88" i="1"/>
  <c r="F137" i="1"/>
  <c r="AO128" i="1"/>
  <c r="AG26" i="1"/>
  <c r="T41" i="1"/>
  <c r="BC73" i="1"/>
  <c r="F112" i="1"/>
  <c r="BC163" i="1"/>
  <c r="GN36" i="1"/>
  <c r="GM36" i="1"/>
  <c r="AB91" i="1"/>
  <c r="CR91" i="1"/>
  <c r="Q91" i="1" s="1"/>
  <c r="AX73" i="1"/>
  <c r="F103" i="1"/>
  <c r="AY128" i="1"/>
  <c r="F141" i="1"/>
  <c r="F151" i="1"/>
  <c r="AT128" i="1"/>
  <c r="F153" i="1"/>
  <c r="BA128" i="1"/>
  <c r="CP83" i="1"/>
  <c r="O83" i="1" s="1"/>
  <c r="K146" i="5" s="1"/>
  <c r="V91" i="1"/>
  <c r="S89" i="1"/>
  <c r="T91" i="1"/>
  <c r="P91" i="1"/>
  <c r="GX91" i="1"/>
  <c r="F45" i="1"/>
  <c r="AO26" i="1"/>
  <c r="AO163" i="1"/>
  <c r="CP77" i="1"/>
  <c r="O77" i="1" s="1"/>
  <c r="K122" i="5" s="1"/>
  <c r="CI26" i="1"/>
  <c r="AZ41" i="1"/>
  <c r="CI73" i="1"/>
  <c r="AZ96" i="1"/>
  <c r="GM79" i="1"/>
  <c r="GN79" i="1"/>
  <c r="AU73" i="1"/>
  <c r="F115" i="1"/>
  <c r="AU163" i="1"/>
  <c r="GN34" i="1"/>
  <c r="GM34" i="1"/>
  <c r="AB89" i="1"/>
  <c r="CR89" i="1"/>
  <c r="Q89" i="1" s="1"/>
  <c r="AT73" i="1"/>
  <c r="AT163" i="1"/>
  <c r="F114" i="1"/>
  <c r="AU128" i="1"/>
  <c r="F152" i="1"/>
  <c r="AO73" i="1"/>
  <c r="F100" i="1"/>
  <c r="F142" i="1"/>
  <c r="AP128" i="1"/>
  <c r="GM90" i="1"/>
  <c r="GN94" i="1"/>
  <c r="GM94" i="1"/>
  <c r="V128" i="1"/>
  <c r="F156" i="1"/>
  <c r="F135" i="1"/>
  <c r="O128" i="1"/>
  <c r="W128" i="1"/>
  <c r="F157" i="1"/>
  <c r="F139" i="1"/>
  <c r="AW128" i="1"/>
  <c r="AB83" i="1"/>
  <c r="AE41" i="1"/>
  <c r="R91" i="1"/>
  <c r="CZ92" i="1"/>
  <c r="Y92" i="1" s="1"/>
  <c r="V181" i="5" s="1"/>
  <c r="CY83" i="1"/>
  <c r="X83" i="1" s="1"/>
  <c r="T146" i="5" s="1"/>
  <c r="U89" i="1"/>
  <c r="AH96" i="1" s="1"/>
  <c r="W91" i="1"/>
  <c r="BD26" i="1"/>
  <c r="F66" i="1"/>
  <c r="BD73" i="1"/>
  <c r="F121" i="1"/>
  <c r="AQ73" i="1"/>
  <c r="F106" i="1"/>
  <c r="AQ163" i="1"/>
  <c r="AV128" i="1"/>
  <c r="F138" i="1"/>
  <c r="AB87" i="1"/>
  <c r="CR87" i="1"/>
  <c r="Q87" i="1" s="1"/>
  <c r="CP87" i="1" s="1"/>
  <c r="O87" i="1" s="1"/>
  <c r="K159" i="5" s="1"/>
  <c r="AP73" i="1"/>
  <c r="F105" i="1"/>
  <c r="AP163" i="1"/>
  <c r="F143" i="1"/>
  <c r="AQ128" i="1"/>
  <c r="GN78" i="1"/>
  <c r="GM78" i="1"/>
  <c r="CG128" i="1"/>
  <c r="AX133" i="1"/>
  <c r="AX163" i="1" s="1"/>
  <c r="CB128" i="1"/>
  <c r="AS133" i="1"/>
  <c r="CY39" i="1"/>
  <c r="X39" i="1" s="1"/>
  <c r="CY37" i="1"/>
  <c r="X37" i="1" s="1"/>
  <c r="P89" i="1"/>
  <c r="CP89" i="1" s="1"/>
  <c r="O89" i="1" s="1"/>
  <c r="K170" i="5" s="1"/>
  <c r="GX89" i="1"/>
  <c r="V89" i="1"/>
  <c r="AI96" i="1" s="1"/>
  <c r="S91" i="1"/>
  <c r="GN28" i="1"/>
  <c r="GM28" i="1"/>
  <c r="BA41" i="1"/>
  <c r="P128" i="1"/>
  <c r="F136" i="1"/>
  <c r="AB93" i="1"/>
  <c r="CR93" i="1"/>
  <c r="Q93" i="1" s="1"/>
  <c r="BB73" i="1"/>
  <c r="F109" i="1"/>
  <c r="BB163" i="1"/>
  <c r="BC128" i="1"/>
  <c r="F149" i="1"/>
  <c r="F146" i="1"/>
  <c r="BB128" i="1"/>
  <c r="GN92" i="1"/>
  <c r="GM92" i="1"/>
  <c r="F147" i="1"/>
  <c r="R128" i="1"/>
  <c r="CA133" i="1"/>
  <c r="HD130" i="1"/>
  <c r="S128" i="1"/>
  <c r="F148" i="1"/>
  <c r="AZ128" i="1"/>
  <c r="F144" i="1"/>
  <c r="CZ75" i="1"/>
  <c r="Y75" i="1" s="1"/>
  <c r="V112" i="5" s="1"/>
  <c r="AB77" i="1"/>
  <c r="W89" i="1"/>
  <c r="AJ96" i="1" s="1"/>
  <c r="R89" i="1"/>
  <c r="W60" i="5" l="1"/>
  <c r="W191" i="5"/>
  <c r="W182" i="5"/>
  <c r="G182" i="5"/>
  <c r="O182" i="5" s="1"/>
  <c r="K157" i="5"/>
  <c r="AD26" i="1"/>
  <c r="Q41" i="1"/>
  <c r="F53" i="1" s="1"/>
  <c r="J101" i="5" s="1"/>
  <c r="AC26" i="1"/>
  <c r="CH41" i="1"/>
  <c r="CE41" i="1"/>
  <c r="CF41" i="1"/>
  <c r="AW41" i="1" s="1"/>
  <c r="P41" i="1"/>
  <c r="CP93" i="1"/>
  <c r="O93" i="1" s="1"/>
  <c r="K185" i="5"/>
  <c r="J191" i="5" s="1"/>
  <c r="P191" i="5" s="1"/>
  <c r="AC96" i="1"/>
  <c r="AG96" i="1"/>
  <c r="CP33" i="1"/>
  <c r="O33" i="1" s="1"/>
  <c r="W86" i="5"/>
  <c r="G86" i="5"/>
  <c r="O86" i="5" s="1"/>
  <c r="CP82" i="1"/>
  <c r="O82" i="1" s="1"/>
  <c r="G60" i="5"/>
  <c r="O60" i="5" s="1"/>
  <c r="W123" i="5"/>
  <c r="G123" i="5"/>
  <c r="O123" i="5" s="1"/>
  <c r="G50" i="5"/>
  <c r="O50" i="5" s="1"/>
  <c r="W50" i="5"/>
  <c r="K64" i="5"/>
  <c r="CP32" i="1"/>
  <c r="O32" i="1" s="1"/>
  <c r="CZ76" i="1"/>
  <c r="Y76" i="1" s="1"/>
  <c r="V121" i="5" s="1"/>
  <c r="K119" i="5" s="1"/>
  <c r="CY76" i="1"/>
  <c r="X76" i="1" s="1"/>
  <c r="L193" i="5"/>
  <c r="L221" i="5"/>
  <c r="L97" i="5"/>
  <c r="GN81" i="1"/>
  <c r="GN37" i="1"/>
  <c r="T85" i="5"/>
  <c r="K82" i="5" s="1"/>
  <c r="J86" i="5" s="1"/>
  <c r="P86" i="5" s="1"/>
  <c r="AD96" i="1"/>
  <c r="AD73" i="1" s="1"/>
  <c r="AJ41" i="1"/>
  <c r="GM80" i="1"/>
  <c r="GN80" i="1"/>
  <c r="AH41" i="1"/>
  <c r="K115" i="5"/>
  <c r="CP75" i="1"/>
  <c r="O75" i="1" s="1"/>
  <c r="GN75" i="1" s="1"/>
  <c r="G160" i="5"/>
  <c r="O160" i="5" s="1"/>
  <c r="W160" i="5"/>
  <c r="GM39" i="1"/>
  <c r="T94" i="5"/>
  <c r="K91" i="5" s="1"/>
  <c r="J95" i="5" s="1"/>
  <c r="P95" i="5" s="1"/>
  <c r="CZ85" i="1"/>
  <c r="Y85" i="1" s="1"/>
  <c r="V157" i="5" s="1"/>
  <c r="K155" i="5" s="1"/>
  <c r="CY85" i="1"/>
  <c r="X85" i="1" s="1"/>
  <c r="GN85" i="1" s="1"/>
  <c r="CZ82" i="1"/>
  <c r="Y82" i="1" s="1"/>
  <c r="V145" i="5" s="1"/>
  <c r="K143" i="5" s="1"/>
  <c r="CY82" i="1"/>
  <c r="X82" i="1" s="1"/>
  <c r="T145" i="5" s="1"/>
  <c r="K142" i="5" s="1"/>
  <c r="CY31" i="1"/>
  <c r="X31" i="1" s="1"/>
  <c r="T59" i="5" s="1"/>
  <c r="K56" i="5" s="1"/>
  <c r="CZ31" i="1"/>
  <c r="Y31" i="1" s="1"/>
  <c r="V59" i="5" s="1"/>
  <c r="K57" i="5" s="1"/>
  <c r="CY33" i="1"/>
  <c r="X33" i="1" s="1"/>
  <c r="T69" i="5" s="1"/>
  <c r="K66" i="5" s="1"/>
  <c r="CZ33" i="1"/>
  <c r="Y33" i="1" s="1"/>
  <c r="V69" i="5" s="1"/>
  <c r="K67" i="5" s="1"/>
  <c r="K151" i="5"/>
  <c r="CP84" i="1"/>
  <c r="O84" i="1" s="1"/>
  <c r="AE96" i="1"/>
  <c r="R96" i="1" s="1"/>
  <c r="CM133" i="1"/>
  <c r="GN38" i="1"/>
  <c r="GM38" i="1"/>
  <c r="K54" i="5"/>
  <c r="CP30" i="1"/>
  <c r="O30" i="1" s="1"/>
  <c r="CP31" i="1"/>
  <c r="O31" i="1" s="1"/>
  <c r="G147" i="5"/>
  <c r="O147" i="5" s="1"/>
  <c r="W147" i="5"/>
  <c r="CY29" i="1"/>
  <c r="X29" i="1" s="1"/>
  <c r="AF41" i="1"/>
  <c r="CZ29" i="1"/>
  <c r="Y29" i="1" s="1"/>
  <c r="W78" i="5"/>
  <c r="G70" i="5"/>
  <c r="O70" i="5" s="1"/>
  <c r="W70" i="5"/>
  <c r="CY35" i="1"/>
  <c r="X35" i="1" s="1"/>
  <c r="CZ35" i="1"/>
  <c r="Y35" i="1" s="1"/>
  <c r="V77" i="5" s="1"/>
  <c r="K75" i="5" s="1"/>
  <c r="W171" i="5"/>
  <c r="G171" i="5"/>
  <c r="O171" i="5" s="1"/>
  <c r="AI41" i="1"/>
  <c r="AX22" i="1"/>
  <c r="F170" i="1"/>
  <c r="AX196" i="1"/>
  <c r="AG73" i="1"/>
  <c r="T96" i="1"/>
  <c r="AJ73" i="1"/>
  <c r="W96" i="1"/>
  <c r="CF26" i="1"/>
  <c r="AC73" i="1"/>
  <c r="P96" i="1"/>
  <c r="CE96" i="1"/>
  <c r="CH96" i="1"/>
  <c r="CF96" i="1"/>
  <c r="BC22" i="1"/>
  <c r="BC196" i="1"/>
  <c r="F179" i="1"/>
  <c r="F61" i="1"/>
  <c r="BA26" i="1"/>
  <c r="AP22" i="1"/>
  <c r="F172" i="1"/>
  <c r="AP196" i="1"/>
  <c r="AT22" i="1"/>
  <c r="AT196" i="1"/>
  <c r="F181" i="1"/>
  <c r="BB22" i="1"/>
  <c r="F176" i="1"/>
  <c r="BB196" i="1"/>
  <c r="GN87" i="1"/>
  <c r="GM87" i="1"/>
  <c r="AQ22" i="1"/>
  <c r="F173" i="1"/>
  <c r="AQ196" i="1"/>
  <c r="P26" i="1"/>
  <c r="F44" i="1"/>
  <c r="P163" i="1"/>
  <c r="AZ73" i="1"/>
  <c r="F107" i="1"/>
  <c r="AZ26" i="1"/>
  <c r="F52" i="1"/>
  <c r="AZ163" i="1"/>
  <c r="AO22" i="1"/>
  <c r="F167" i="1"/>
  <c r="AO196" i="1"/>
  <c r="GN39" i="1"/>
  <c r="CJ96" i="1"/>
  <c r="GM75" i="1"/>
  <c r="CP91" i="1"/>
  <c r="O91" i="1" s="1"/>
  <c r="K180" i="5" s="1"/>
  <c r="GM37" i="1"/>
  <c r="CA128" i="1"/>
  <c r="AR133" i="1"/>
  <c r="AI73" i="1"/>
  <c r="V96" i="1"/>
  <c r="AX128" i="1"/>
  <c r="F140" i="1"/>
  <c r="CE26" i="1"/>
  <c r="AV41" i="1"/>
  <c r="AY41" i="1"/>
  <c r="CH26" i="1"/>
  <c r="AH73" i="1"/>
  <c r="U96" i="1"/>
  <c r="AE26" i="1"/>
  <c r="R41" i="1"/>
  <c r="AU22" i="1"/>
  <c r="F182" i="1"/>
  <c r="AU196" i="1"/>
  <c r="GM77" i="1"/>
  <c r="GN77" i="1"/>
  <c r="CZ89" i="1"/>
  <c r="Y89" i="1" s="1"/>
  <c r="CY89" i="1"/>
  <c r="X89" i="1" s="1"/>
  <c r="AF96" i="1"/>
  <c r="GN93" i="1"/>
  <c r="GM93" i="1"/>
  <c r="CM128" i="1"/>
  <c r="BD133" i="1"/>
  <c r="CZ91" i="1"/>
  <c r="Y91" i="1" s="1"/>
  <c r="V180" i="5" s="1"/>
  <c r="K178" i="5" s="1"/>
  <c r="CY91" i="1"/>
  <c r="X91" i="1" s="1"/>
  <c r="T180" i="5" s="1"/>
  <c r="K177" i="5" s="1"/>
  <c r="F150" i="1"/>
  <c r="J218" i="5" s="1"/>
  <c r="AS128" i="1"/>
  <c r="GM83" i="1"/>
  <c r="GN83" i="1"/>
  <c r="T26" i="1"/>
  <c r="F62" i="1"/>
  <c r="T163" i="1"/>
  <c r="G27" i="5" l="1"/>
  <c r="T77" i="5"/>
  <c r="K74" i="5" s="1"/>
  <c r="J78" i="5" s="1"/>
  <c r="P78" i="5" s="1"/>
  <c r="GM35" i="1"/>
  <c r="GN35" i="1"/>
  <c r="V49" i="5"/>
  <c r="K47" i="5" s="1"/>
  <c r="AL41" i="1"/>
  <c r="AH26" i="1"/>
  <c r="U41" i="1"/>
  <c r="AL96" i="1"/>
  <c r="Y96" i="1" s="1"/>
  <c r="V170" i="5"/>
  <c r="K168" i="5" s="1"/>
  <c r="U163" i="1"/>
  <c r="F16" i="2"/>
  <c r="F18" i="2" s="1"/>
  <c r="I28" i="5"/>
  <c r="G16" i="2"/>
  <c r="G18" i="2" s="1"/>
  <c r="I29" i="5"/>
  <c r="AE73" i="1"/>
  <c r="W41" i="1"/>
  <c r="AJ26" i="1"/>
  <c r="T121" i="5"/>
  <c r="K118" i="5" s="1"/>
  <c r="J123" i="5" s="1"/>
  <c r="P123" i="5" s="1"/>
  <c r="GN76" i="1"/>
  <c r="GM76" i="1"/>
  <c r="CA96" i="1" s="1"/>
  <c r="K145" i="5"/>
  <c r="J147" i="5" s="1"/>
  <c r="P147" i="5" s="1"/>
  <c r="GN82" i="1"/>
  <c r="GM82" i="1"/>
  <c r="J182" i="5"/>
  <c r="P182" i="5" s="1"/>
  <c r="Q96" i="1"/>
  <c r="Q163" i="1" s="1"/>
  <c r="F175" i="1" s="1"/>
  <c r="S41" i="1"/>
  <c r="AF26" i="1"/>
  <c r="K59" i="5"/>
  <c r="J60" i="5" s="1"/>
  <c r="P60" i="5" s="1"/>
  <c r="GN31" i="1"/>
  <c r="GM31" i="1"/>
  <c r="GN32" i="1"/>
  <c r="GM32" i="1"/>
  <c r="G193" i="5"/>
  <c r="K69" i="5"/>
  <c r="J70" i="5" s="1"/>
  <c r="P70" i="5" s="1"/>
  <c r="GM33" i="1"/>
  <c r="GN33" i="1"/>
  <c r="AI26" i="1"/>
  <c r="V41" i="1"/>
  <c r="G26" i="5"/>
  <c r="G221" i="5"/>
  <c r="G97" i="5"/>
  <c r="Q26" i="1"/>
  <c r="GM89" i="1"/>
  <c r="T170" i="5"/>
  <c r="K167" i="5" s="1"/>
  <c r="AK41" i="1"/>
  <c r="AK26" i="1" s="1"/>
  <c r="T49" i="5"/>
  <c r="K46" i="5" s="1"/>
  <c r="GN29" i="1"/>
  <c r="GN30" i="1"/>
  <c r="AB41" i="1"/>
  <c r="GM30" i="1"/>
  <c r="GM29" i="1"/>
  <c r="GN84" i="1"/>
  <c r="GM84" i="1"/>
  <c r="GM85" i="1"/>
  <c r="T157" i="5"/>
  <c r="K154" i="5" s="1"/>
  <c r="J160" i="5" s="1"/>
  <c r="P160" i="5" s="1"/>
  <c r="AL73" i="1"/>
  <c r="U22" i="1"/>
  <c r="U196" i="1"/>
  <c r="F185" i="1"/>
  <c r="AF73" i="1"/>
  <c r="S96" i="1"/>
  <c r="R26" i="1"/>
  <c r="F55" i="1"/>
  <c r="J102" i="5" s="1"/>
  <c r="R163" i="1"/>
  <c r="AZ22" i="1"/>
  <c r="F174" i="1"/>
  <c r="AZ196" i="1"/>
  <c r="AQ18" i="1"/>
  <c r="F206" i="1"/>
  <c r="AR128" i="1"/>
  <c r="F161" i="1"/>
  <c r="J219" i="5" s="1"/>
  <c r="AP18" i="1"/>
  <c r="F205" i="1"/>
  <c r="CH73" i="1"/>
  <c r="AY96" i="1"/>
  <c r="F47" i="1"/>
  <c r="AW26" i="1"/>
  <c r="T73" i="1"/>
  <c r="F117" i="1"/>
  <c r="AX18" i="1"/>
  <c r="F203" i="1"/>
  <c r="GN89" i="1"/>
  <c r="U73" i="1"/>
  <c r="F118" i="1"/>
  <c r="J203" i="5" s="1"/>
  <c r="AV26" i="1"/>
  <c r="F46" i="1"/>
  <c r="GN91" i="1"/>
  <c r="GM91" i="1"/>
  <c r="AB96" i="1"/>
  <c r="CF73" i="1"/>
  <c r="AW96" i="1"/>
  <c r="R73" i="1"/>
  <c r="F110" i="1"/>
  <c r="J200" i="5" s="1"/>
  <c r="AU18" i="1"/>
  <c r="F215" i="1"/>
  <c r="F49" i="1"/>
  <c r="AY26" i="1"/>
  <c r="AY163" i="1"/>
  <c r="V73" i="1"/>
  <c r="F119" i="1"/>
  <c r="J204" i="5" s="1"/>
  <c r="AO18" i="1"/>
  <c r="F200" i="1"/>
  <c r="P22" i="1"/>
  <c r="F166" i="1"/>
  <c r="P196" i="1"/>
  <c r="BB18" i="1"/>
  <c r="F209" i="1"/>
  <c r="AT18" i="1"/>
  <c r="F214" i="1"/>
  <c r="P73" i="1"/>
  <c r="F99" i="1"/>
  <c r="J197" i="5" s="1"/>
  <c r="W73" i="1"/>
  <c r="F120" i="1"/>
  <c r="AK96" i="1"/>
  <c r="T22" i="1"/>
  <c r="T196" i="1"/>
  <c r="F184" i="1"/>
  <c r="BD128" i="1"/>
  <c r="F158" i="1"/>
  <c r="BD163" i="1"/>
  <c r="CJ73" i="1"/>
  <c r="BA96" i="1"/>
  <c r="BC18" i="1"/>
  <c r="F212" i="1"/>
  <c r="CE73" i="1"/>
  <c r="AV96" i="1"/>
  <c r="J50" i="5" l="1"/>
  <c r="P50" i="5" s="1"/>
  <c r="Y41" i="1"/>
  <c r="AL26" i="1"/>
  <c r="Q73" i="1"/>
  <c r="X41" i="1"/>
  <c r="CA41" i="1"/>
  <c r="CB41" i="1"/>
  <c r="F63" i="1"/>
  <c r="J105" i="5" s="1"/>
  <c r="U26" i="1"/>
  <c r="AB26" i="1"/>
  <c r="O41" i="1"/>
  <c r="J171" i="5"/>
  <c r="P171" i="5" s="1"/>
  <c r="J193" i="5" s="1"/>
  <c r="W163" i="1"/>
  <c r="F65" i="1"/>
  <c r="W26" i="1"/>
  <c r="Q196" i="1"/>
  <c r="Q22" i="1"/>
  <c r="F64" i="1"/>
  <c r="J106" i="5" s="1"/>
  <c r="V26" i="1"/>
  <c r="V163" i="1"/>
  <c r="S26" i="1"/>
  <c r="F56" i="1"/>
  <c r="J103" i="5" s="1"/>
  <c r="F108" i="1"/>
  <c r="J199" i="5" s="1"/>
  <c r="J221" i="5"/>
  <c r="J97" i="5"/>
  <c r="AW73" i="1"/>
  <c r="F102" i="1"/>
  <c r="J198" i="5" s="1"/>
  <c r="R22" i="1"/>
  <c r="F177" i="1"/>
  <c r="R196" i="1"/>
  <c r="U18" i="1"/>
  <c r="F218" i="1"/>
  <c r="J230" i="5" s="1"/>
  <c r="BD22" i="1"/>
  <c r="BD196" i="1"/>
  <c r="F188" i="1"/>
  <c r="AK73" i="1"/>
  <c r="X96" i="1"/>
  <c r="AZ18" i="1"/>
  <c r="F207" i="1"/>
  <c r="S73" i="1"/>
  <c r="F111" i="1"/>
  <c r="J201" i="5" s="1"/>
  <c r="S163" i="1"/>
  <c r="CB96" i="1"/>
  <c r="T18" i="1"/>
  <c r="F217" i="1"/>
  <c r="P18" i="1"/>
  <c r="F199" i="1"/>
  <c r="J224" i="5" s="1"/>
  <c r="AB73" i="1"/>
  <c r="O96" i="1"/>
  <c r="Y73" i="1"/>
  <c r="F123" i="1"/>
  <c r="J206" i="5" s="1"/>
  <c r="AW163" i="1"/>
  <c r="AV73" i="1"/>
  <c r="F101" i="1"/>
  <c r="BA73" i="1"/>
  <c r="F116" i="1"/>
  <c r="BA163" i="1"/>
  <c r="Q18" i="1"/>
  <c r="F208" i="1"/>
  <c r="J226" i="5" s="1"/>
  <c r="AY22" i="1"/>
  <c r="AY196" i="1"/>
  <c r="F171" i="1"/>
  <c r="CA73" i="1"/>
  <c r="AR96" i="1"/>
  <c r="AY73" i="1"/>
  <c r="F104" i="1"/>
  <c r="X26" i="1"/>
  <c r="F67" i="1"/>
  <c r="J107" i="5" s="1"/>
  <c r="X163" i="1"/>
  <c r="AV163" i="1"/>
  <c r="O26" i="1" l="1"/>
  <c r="F43" i="1"/>
  <c r="J100" i="5" s="1"/>
  <c r="V22" i="1"/>
  <c r="F186" i="1"/>
  <c r="I31" i="5" s="1"/>
  <c r="G31" i="5" s="1"/>
  <c r="V196" i="1"/>
  <c r="CB26" i="1"/>
  <c r="AS41" i="1"/>
  <c r="AR41" i="1"/>
  <c r="CA26" i="1"/>
  <c r="Y163" i="1"/>
  <c r="F68" i="1"/>
  <c r="J108" i="5" s="1"/>
  <c r="Y26" i="1"/>
  <c r="W196" i="1"/>
  <c r="F187" i="1"/>
  <c r="W22" i="1"/>
  <c r="CB73" i="1"/>
  <c r="AS96" i="1"/>
  <c r="X73" i="1"/>
  <c r="F122" i="1"/>
  <c r="J205" i="5" s="1"/>
  <c r="AR73" i="1"/>
  <c r="F124" i="1"/>
  <c r="J207" i="5" s="1"/>
  <c r="AW22" i="1"/>
  <c r="F169" i="1"/>
  <c r="AW196" i="1"/>
  <c r="O73" i="1"/>
  <c r="F98" i="1"/>
  <c r="J196" i="5" s="1"/>
  <c r="O163" i="1"/>
  <c r="BD18" i="1"/>
  <c r="F221" i="1"/>
  <c r="R18" i="1"/>
  <c r="F210" i="1"/>
  <c r="J227" i="5" s="1"/>
  <c r="X22" i="1"/>
  <c r="F189" i="1"/>
  <c r="X196" i="1"/>
  <c r="AY18" i="1"/>
  <c r="F204" i="1"/>
  <c r="BA22" i="1"/>
  <c r="F183" i="1"/>
  <c r="BA196" i="1"/>
  <c r="AV22" i="1"/>
  <c r="AV196" i="1"/>
  <c r="F168" i="1"/>
  <c r="S22" i="1"/>
  <c r="F178" i="1"/>
  <c r="S196" i="1"/>
  <c r="F69" i="1" l="1"/>
  <c r="J109" i="5" s="1"/>
  <c r="AR26" i="1"/>
  <c r="AR163" i="1"/>
  <c r="AS26" i="1"/>
  <c r="F58" i="1"/>
  <c r="J104" i="5" s="1"/>
  <c r="H16" i="2"/>
  <c r="H18" i="2" s="1"/>
  <c r="I30" i="5"/>
  <c r="Y196" i="1"/>
  <c r="Y22" i="1"/>
  <c r="F190" i="1"/>
  <c r="J16" i="2"/>
  <c r="J18" i="2" s="1"/>
  <c r="I32" i="5"/>
  <c r="W18" i="1"/>
  <c r="F220" i="1"/>
  <c r="F219" i="1"/>
  <c r="J231" i="5" s="1"/>
  <c r="V18" i="1"/>
  <c r="S18" i="1"/>
  <c r="F211" i="1"/>
  <c r="J228" i="5" s="1"/>
  <c r="X18" i="1"/>
  <c r="F222" i="1"/>
  <c r="J232" i="5" s="1"/>
  <c r="BA18" i="1"/>
  <c r="F216" i="1"/>
  <c r="O22" i="1"/>
  <c r="F165" i="1"/>
  <c r="O196" i="1"/>
  <c r="AV18" i="1"/>
  <c r="F201" i="1"/>
  <c r="AW18" i="1"/>
  <c r="F202" i="1"/>
  <c r="J225" i="5" s="1"/>
  <c r="AS73" i="1"/>
  <c r="F113" i="1"/>
  <c r="J202" i="5" s="1"/>
  <c r="AS163" i="1"/>
  <c r="Y18" i="1" l="1"/>
  <c r="F223" i="1"/>
  <c r="J233" i="5" s="1"/>
  <c r="AR196" i="1"/>
  <c r="F191" i="1"/>
  <c r="F192" i="1" s="1"/>
  <c r="F193" i="1" s="1"/>
  <c r="F194" i="1" s="1"/>
  <c r="I26" i="5" s="1"/>
  <c r="AR22" i="1"/>
  <c r="AS22" i="1"/>
  <c r="F180" i="1"/>
  <c r="AS196" i="1"/>
  <c r="O18" i="1"/>
  <c r="F198" i="1"/>
  <c r="J223" i="5" s="1"/>
  <c r="E16" i="2" l="1"/>
  <c r="I27" i="5"/>
  <c r="AR18" i="1"/>
  <c r="F224" i="1"/>
  <c r="E18" i="2"/>
  <c r="I16" i="2"/>
  <c r="I18" i="2" s="1"/>
  <c r="AS18" i="1"/>
  <c r="F213" i="1"/>
  <c r="J229" i="5" s="1"/>
  <c r="F225" i="1" l="1"/>
  <c r="J234" i="5"/>
  <c r="J235" i="5" l="1"/>
  <c r="F226" i="1"/>
  <c r="F227" i="1" l="1"/>
  <c r="J237" i="5" s="1"/>
  <c r="J236" i="5"/>
</calcChain>
</file>

<file path=xl/sharedStrings.xml><?xml version="1.0" encoding="utf-8"?>
<sst xmlns="http://schemas.openxmlformats.org/spreadsheetml/2006/main" count="3466" uniqueCount="446">
  <si>
    <t>Smeta.RU  (495) 974-1589</t>
  </si>
  <si>
    <t>_PS_</t>
  </si>
  <si>
    <t>Smeta.RU</t>
  </si>
  <si>
    <t/>
  </si>
  <si>
    <t>Новый объект</t>
  </si>
  <si>
    <t>Замена оконных и дверных блоков в здании ФАУ МО РФ ЦСКА по адресу: 125167, г. Москва, Ленинградский проспект, д. 39, стр. 29</t>
  </si>
  <si>
    <t>Сметные нормы списания</t>
  </si>
  <si>
    <t>Коды ценников</t>
  </si>
  <si>
    <t>ФЕР-2020 И4</t>
  </si>
  <si>
    <t>ТР для Версии 11: Центральные регионы (с уч. п-ма 2536-ИП/12/ГС от 27.11.12, 01/57049-ЮЛ от 27.04.2018) от 27.04.2020 г</t>
  </si>
  <si>
    <t>ФЕР-2020 - изменения И4</t>
  </si>
  <si>
    <t>Поправки для ГСН (ФЕР) 2020 от 20.10.2020 г И4</t>
  </si>
  <si>
    <t>Новая локальная смета</t>
  </si>
  <si>
    <t>Новый раздел</t>
  </si>
  <si>
    <t>Демонтажные работы</t>
  </si>
  <si>
    <t>1</t>
  </si>
  <si>
    <t>56-3-2</t>
  </si>
  <si>
    <t>Снятие подоконных досок: деревянных в каменных зданиях</t>
  </si>
  <si>
    <t>100 м2</t>
  </si>
  <si>
    <t>ФЕРр-2001, 56-3-2, приказ Минстроя России № 876/пр от 26.12.2019</t>
  </si>
  <si>
    <t>4й квартал 2020 года (Письмо Минстроя РФ № 44016-ИФ/09 от 02.11.2020 г., Административные здания)</t>
  </si>
  <si>
    <t>Ремонтно-строительные работы</t>
  </si>
  <si>
    <t>Проемы</t>
  </si>
  <si>
    <t>рФЕР-56</t>
  </si>
  <si>
    <t>1,1</t>
  </si>
  <si>
    <t>999-9900</t>
  </si>
  <si>
    <t>Строительный мусор</t>
  </si>
  <si>
    <t>т</t>
  </si>
  <si>
    <t>2</t>
  </si>
  <si>
    <t>56-2-2</t>
  </si>
  <si>
    <t>Снятие оконных переплетов: остекленных</t>
  </si>
  <si>
    <t>ФЕРр-2001, 56-2-2, приказ Минстроя России № 876/пр от 26.12.2019</t>
  </si>
  <si>
    <t>2,1</t>
  </si>
  <si>
    <t>3</t>
  </si>
  <si>
    <t>56-1-1</t>
  </si>
  <si>
    <t>Демонтаж оконных коробок: в каменных стенах с отбивкой штукатурки в откосах</t>
  </si>
  <si>
    <t>100 ШТ</t>
  </si>
  <si>
    <t>ФЕРр-2001, 56-1-1, приказ Минстроя России № 876/пр от 26.12.2019</t>
  </si>
  <si>
    <t>3,1</t>
  </si>
  <si>
    <t>4</t>
  </si>
  <si>
    <t>56-11-1</t>
  </si>
  <si>
    <t>Снятие наличников</t>
  </si>
  <si>
    <t>100 м</t>
  </si>
  <si>
    <t>ФЕРр-2001, 56-11-1, приказ Минстроя России № 876/пр от 26.12.2019</t>
  </si>
  <si>
    <t>4,1</t>
  </si>
  <si>
    <t>5</t>
  </si>
  <si>
    <t>56-10-1</t>
  </si>
  <si>
    <t>Снятие дверных полотен</t>
  </si>
  <si>
    <t>ФЕРр-2001, 56-10-1, приказ Минстроя России № 876/пр от 26.12.2019</t>
  </si>
  <si>
    <t>5,1</t>
  </si>
  <si>
    <t>6</t>
  </si>
  <si>
    <t>56-9-1</t>
  </si>
  <si>
    <t>Демонтаж дверных коробок: в каменных стенах с отбивкой штукатурки в откосах</t>
  </si>
  <si>
    <t>ФЕРр-2001, 56-9-1, приказ Минстроя России № 876/пр от 26.12.2019</t>
  </si>
  <si>
    <t>6,1</t>
  </si>
  <si>
    <t>ПЗ</t>
  </si>
  <si>
    <t>Прямые затраты</t>
  </si>
  <si>
    <t>СтМатОб</t>
  </si>
  <si>
    <t>Стоимость материальных ресурсов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</si>
  <si>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</si>
  <si>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</si>
  <si>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</si>
  <si>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</si>
  <si>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</si>
  <si>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</si>
  <si>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</si>
  <si>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</si>
  <si>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</si>
  <si>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</si>
  <si>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</si>
  <si>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</si>
  <si>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</si>
  <si>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</si>
  <si>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</si>
  <si>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</si>
  <si>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</si>
  <si>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</si>
  <si>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</si>
  <si>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</si>
  <si>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</si>
  <si>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</si>
  <si>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</si>
  <si>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</si>
  <si>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</si>
  <si>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</si>
  <si>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</si>
  <si>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</si>
  <si>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</si>
  <si>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</si>
  <si>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</si>
  <si>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</si>
  <si>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</si>
  <si>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</si>
  <si>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</si>
  <si>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</si>
  <si>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</si>
  <si>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</si>
  <si>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</si>
  <si>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</si>
  <si>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</si>
  <si>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</si>
  <si>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</si>
  <si>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</si>
  <si>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</si>
  <si>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</si>
  <si>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</si>
  <si>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</si>
  <si>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</si>
  <si>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</si>
  <si>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7</t>
  </si>
  <si>
    <t>58-20-1</t>
  </si>
  <si>
    <t>Смена обделок из листовой стали (поясков, сандриков, отливов, карнизов) шириной: до 0,4 м</t>
  </si>
  <si>
    <t>ФЕРр-2001, 58-20-1, приказ Минстроя России № 876/пр от 26.12.2019</t>
  </si>
  <si>
    <t>Крыши, кровля</t>
  </si>
  <si>
    <t>рФЕР-58</t>
  </si>
  <si>
    <t>7,1</t>
  </si>
  <si>
    <t>08.3.05.05-0053</t>
  </si>
  <si>
    <t>Сталь листовая оцинкованная, толщина 0,7 мм</t>
  </si>
  <si>
    <t>ФССЦ-2001, 08.3.05.05-0053, приказ Минстроя России № 876/пр от 26.12.2019</t>
  </si>
  <si>
    <t>7,2</t>
  </si>
  <si>
    <t>8</t>
  </si>
  <si>
    <t>10-01-034-08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</si>
  <si>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</t>
  </si>
  <si>
    <t>ФЕР-2001, 10-01-034-08, приказ Минстроя России № 876/пр от 26.12.2019</t>
  </si>
  <si>
    <t>)*1,25</t>
  </si>
  <si>
    <t>)*1,15</t>
  </si>
  <si>
    <t>Общестроительные работы</t>
  </si>
  <si>
    <t>Деревянные конструкции</t>
  </si>
  <si>
    <t>ФЕР-10</t>
  </si>
  <si>
    <t>Поправка: М-ка 421/пр 04.08.20 п.58 п.п. б)</t>
  </si>
  <si>
    <t>*0,9</t>
  </si>
  <si>
    <t>*0,85</t>
  </si>
  <si>
    <t>11.3.02.04-0039</t>
  </si>
  <si>
    <t>Блок оконный из ПВХ-профилей, трехстворчатый, с поворотной и поворотно-откидной створкой, двухкамерным стеклопакетом (32 мм), площадью более 3,5 м2</t>
  </si>
  <si>
    <t>м2</t>
  </si>
  <si>
    <t>ФССЦ-2001, 11.3.02.04-0039, приказ Минстроя России № 876/пр от 26.12.2019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</si>
  <si>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</si>
  <si>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</si>
  <si>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</si>
  <si>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9</t>
  </si>
  <si>
    <t>Цена поставщика</t>
  </si>
  <si>
    <t>Материалы, изделия и конструкции</t>
  </si>
  <si>
    <t>материалы (03)</t>
  </si>
  <si>
    <t>[9 480,2 / 1,2 /  7,73]</t>
  </si>
  <si>
    <t>0</t>
  </si>
  <si>
    <t>10</t>
  </si>
  <si>
    <t>10-01-035-03</t>
  </si>
  <si>
    <t>Установка подоконных досок из ПВХ: в каменных стенах толщиной свыше 0,51 м</t>
  </si>
  <si>
    <t>ФЕР-2001, 10-01-035-03, приказ Минстроя России № 876/пр от 26.12.2019</t>
  </si>
  <si>
    <t>10,1</t>
  </si>
  <si>
    <t>11.3.03.01-0011</t>
  </si>
  <si>
    <t>Доски подоконные из ПВХ, ширина 600 мм</t>
  </si>
  <si>
    <t>м</t>
  </si>
  <si>
    <t>ФССЦ-2001, 11.3.03.01-0011, приказ Минстроя России № 876/пр от 26.12.2019</t>
  </si>
  <si>
    <t>10,2</t>
  </si>
  <si>
    <t>11.3.03.14-1000</t>
  </si>
  <si>
    <t>Заглушки торцевые двусторонние к подоконной доске из ПВХ, белый, мрамор, размеры 40x480 мм</t>
  </si>
  <si>
    <t>10 ШТ</t>
  </si>
  <si>
    <t>ФССЦ-2001, 11.3.03.14-1000, приказ Минстроя России № 876/пр от 26.12.2019</t>
  </si>
  <si>
    <t>11</t>
  </si>
  <si>
    <t>15-01-050-04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</si>
  <si>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</si>
  <si>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>ФЕР-2001, 15-01-050-04, приказ Минстроя России № 876/пр от 26.12.2019</t>
  </si>
  <si>
    <t>Отделочные работы</t>
  </si>
  <si>
    <t>ФЕР-15</t>
  </si>
  <si>
    <t>11,1</t>
  </si>
  <si>
    <t>11.2.11.01-0001</t>
  </si>
  <si>
    <t>Пластик бумажно-слоистый с декоративной стороной</t>
  </si>
  <si>
    <t>1000 м2</t>
  </si>
  <si>
    <t>ФССЦ-2001, 11.2.11.01-0001, приказ Минстроя России № 876/пр от 26.12.2019</t>
  </si>
  <si>
    <t>11,2</t>
  </si>
  <si>
    <t>14.1.02.04-0102</t>
  </si>
  <si>
    <t>Клей для укладки ПВХ-покрытий</t>
  </si>
  <si>
    <t>кг</t>
  </si>
  <si>
    <t>ФССЦ-2001, 14.1.02.04-0102, приказ Минстроя России № 876/пр от 26.12.2019</t>
  </si>
  <si>
    <t>11,3</t>
  </si>
  <si>
    <t>14.4.01.04-0001</t>
  </si>
  <si>
    <t>Грунтовка для внутренних работ, укрепляющая, на водной основе</t>
  </si>
  <si>
    <t>ФССЦ-2001, 14.4.01.04-0001, приказ Минстроя России № 876/пр от 26.12.2019</t>
  </si>
  <si>
    <t>12</t>
  </si>
  <si>
    <t>10-01-047-02</t>
  </si>
  <si>
    <t>Установка блоков из ПВХ в наружных и внутренних дверных проемах: в каменных стенах площадью проема более 3 м2</t>
  </si>
  <si>
    <t>ФЕР-2001, 10-01-047-02, приказ Минстроя России № 876/пр от 26.12.2019</t>
  </si>
  <si>
    <t>12,1</t>
  </si>
  <si>
    <t>11.3.01.01-0017</t>
  </si>
  <si>
    <t>Блоки дверные входные пластиковые: с простой коробкой, двупольная с офисной фурнитурой, с двухкамерным стеклопакетом (32 мм), площадь более 3,5 м2</t>
  </si>
  <si>
    <t>ФССЦ-2001, 11.3.01.01-0017, приказ Минстроя России № 876/пр от 26.12.2019</t>
  </si>
  <si>
    <t>13</t>
  </si>
  <si>
    <t>09-04-012-01</t>
  </si>
  <si>
    <t>Прим. Установка металлических дверных блоков в готовые проемы</t>
  </si>
  <si>
    <t>ФЕР-2001, 09-04-012-01, приказ Минстроя России № 876/пр от 26.12.2019</t>
  </si>
  <si>
    <t>Металлические конструкции</t>
  </si>
  <si>
    <t>ФЕР-09</t>
  </si>
  <si>
    <t>13,1</t>
  </si>
  <si>
    <t>01.7.04.07-0031</t>
  </si>
  <si>
    <t>Комплект скобяных изделий для отдельных полотен двупольных входных дверей при заполнении отдельными элементами в здание</t>
  </si>
  <si>
    <t>КОМПЛ</t>
  </si>
  <si>
    <t>ФССЦ-2001, 01.7.04.07-0031, приказ Минстроя России № 876/пр от 26.12.2019</t>
  </si>
  <si>
    <t>13,2</t>
  </si>
  <si>
    <t>09.4.02.03-1000</t>
  </si>
  <si>
    <t>Прим. Блок дверной из алюминиевого профиля распашной с одинарным остеклением, площадь свыше 2,5 м2</t>
  </si>
  <si>
    <t>ФССЦ-2001, 09.4.02.03-1000, приказ Минстроя России № 876/пр от 26.12.2019</t>
  </si>
  <si>
    <t>14</t>
  </si>
  <si>
    <t>09-04-012-02</t>
  </si>
  <si>
    <t>Установка дверного доводчика к металлическим дверям</t>
  </si>
  <si>
    <t>ШТ</t>
  </si>
  <si>
    <t>ФЕР-2001, 09-04-012-02, приказ Минстроя России № 876/пр от 26.12.2019</t>
  </si>
  <si>
    <t>14,1</t>
  </si>
  <si>
    <t>01.7.04.01-0001</t>
  </si>
  <si>
    <t>Доводчик дверной DS 73 BC "Серия Premium", усилие закрывания EN2-5</t>
  </si>
  <si>
    <t>ФССЦ-2001, 01.7.04.01-0001, приказ Минстроя России № 876/пр от 26.12.2019</t>
  </si>
  <si>
    <t>Вывоз мусора</t>
  </si>
  <si>
    <t>15</t>
  </si>
  <si>
    <t>т01-01-01-041</t>
  </si>
  <si>
    <t>Погрузочные работы при автомобильных перевозках мусора строительного с погрузкой вручную</t>
  </si>
  <si>
    <t>1 Т ГРУЗА</t>
  </si>
  <si>
    <t>ФССЦпг-2001, т01-01-01-041, приказ Минстроя России №876/пр от 26.12.2019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</si>
  <si>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</si>
  <si>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</si>
  <si>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</si>
  <si>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16</t>
  </si>
  <si>
    <t>т03-21-01-045</t>
  </si>
  <si>
    <t>Перевозка грузов I класса автомобилями-самосвалами грузоподъемностью 10 т работающих вне карьера на расстояние: до 45 км</t>
  </si>
  <si>
    <t>ФССЦпг-2001, т03-21-01-045, приказ Минстроя России №876/пр от 26.12.2019</t>
  </si>
  <si>
    <t>Перевозка грузов авто/транспортом</t>
  </si>
  <si>
    <t>Перевозка грузов (ФССЦпр-2011 - изм. 7, разделы 1-4) - по сметной стоимости</t>
  </si>
  <si>
    <t>ФССЦпр , изм. 7</t>
  </si>
  <si>
    <t>Итого</t>
  </si>
  <si>
    <t>НДС 20 %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</si>
  <si>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</si>
  <si>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</si>
  <si>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</si>
  <si>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</si>
  <si>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</si>
  <si>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</si>
  <si>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</si>
  <si>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</si>
  <si>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</si>
  <si>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</si>
  <si>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</si>
  <si>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</si>
  <si>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</si>
  <si>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</si>
  <si>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</si>
  <si>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</si>
  <si>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</si>
  <si>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</si>
  <si>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</si>
  <si>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</si>
  <si>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</si>
  <si>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</si>
  <si>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</si>
  <si>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</si>
  <si>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</si>
  <si>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</si>
  <si>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</si>
  <si>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</si>
  <si>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</si>
  <si>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</si>
  <si>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</si>
  <si>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</si>
  <si>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</si>
  <si>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</si>
  <si>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</si>
  <si>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</si>
  <si>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</si>
  <si>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</si>
  <si>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</si>
  <si>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</si>
  <si>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</si>
  <si>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</si>
  <si>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</si>
  <si>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</si>
  <si>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</si>
  <si>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</si>
  <si>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</si>
  <si>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</si>
  <si>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</si>
  <si>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</si>
  <si>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</si>
  <si>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</si>
  <si>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</si>
  <si>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</si>
  <si>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</si>
  <si>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</si>
  <si>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</si>
  <si>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</si>
  <si>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</si>
  <si>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</si>
  <si>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</si>
  <si>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</si>
  <si>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Индексы за итогом</t>
  </si>
  <si>
    <t>_OBSM_</t>
  </si>
  <si>
    <t>1-100-23</t>
  </si>
  <si>
    <t>Рабочий среднего разряда 2.3</t>
  </si>
  <si>
    <t>чел.-ч.</t>
  </si>
  <si>
    <t>4-100-00</t>
  </si>
  <si>
    <t>Затраты труда машинистов</t>
  </si>
  <si>
    <t>91.06.06-048</t>
  </si>
  <si>
    <t>ФСЭМ-2001, 91.06.06-048 , приказ Минстроя России № 876/пр от 26.12.2019</t>
  </si>
  <si>
    <t>Подъемники одномачтовые, грузоподъемность до 500 кг, высота подъема 45 м</t>
  </si>
  <si>
    <t>маш.-ч</t>
  </si>
  <si>
    <t>1-100-25</t>
  </si>
  <si>
    <t>Рабочий среднего разряда 2.5</t>
  </si>
  <si>
    <t>91.18.01-508</t>
  </si>
  <si>
    <t>ФСЭМ-2001, 91.18.01-508 , приказ Минстроя России № 876/пр от 26.12.2019</t>
  </si>
  <si>
    <t>Компрессоры передвижные с электродвигателем, производительность до 5,0 м3/мин</t>
  </si>
  <si>
    <t>91.21.10-003</t>
  </si>
  <si>
    <t>ФСЭМ-2001, 91.21.10-003 , приказ Минстроя России № 876/пр от 26.12.2019</t>
  </si>
  <si>
    <t>Молотки при работе от передвижных компрессорных станций отбойные пневматические</t>
  </si>
  <si>
    <t>1-100-22</t>
  </si>
  <si>
    <t>Рабочий среднего разряда 2.2</t>
  </si>
  <si>
    <t>1-100-30</t>
  </si>
  <si>
    <t>Рабочий среднего разряда 3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</si>
  <si>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</si>
  <si>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</si>
  <si>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</si>
  <si>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01.7.15.06-0111</t>
  </si>
  <si>
    <t>ФССЦ-2001, 01.7.15.06-0111, приказ Минстроя России № 876/пр от 26.12.2019</t>
  </si>
  <si>
    <t>Гвозди строительные</t>
  </si>
  <si>
    <t>08.3.03.05-0001</t>
  </si>
  <si>
    <t>ФССЦ-2001, 08.3.03.05-0001, приказ Минстроя России № 876/пр от 26.12.2019</t>
  </si>
  <si>
    <t>Проволока канатная оцинкованная, диаметр 2,6 мм</t>
  </si>
  <si>
    <t>1-100-32</t>
  </si>
  <si>
    <t>Рабочий среднего разряда 3.2</t>
  </si>
  <si>
    <t>01.7.06.02-0001</t>
  </si>
  <si>
    <t>ФССЦ-2001, 01.7.06.02-0001, приказ Минстроя России № 876/пр от 26.12.2019</t>
  </si>
  <si>
    <t>Лента бутиловая</t>
  </si>
  <si>
    <t>01.7.06.02-0002</t>
  </si>
  <si>
    <t>ФССЦ-2001, 01.7.06.02-0002, приказ Минстроя России № 876/пр от 26.12.2019</t>
  </si>
  <si>
    <t>Лента бутиловая диффузионная</t>
  </si>
  <si>
    <t>01.7.06.11-0001</t>
  </si>
  <si>
    <t>ФССЦ-2001, 01.7.06.11-0001, приказ Минстроя России № 876/пр от 26.12.2019</t>
  </si>
  <si>
    <t>Лента предварительно сжатая, уплотнительная</t>
  </si>
  <si>
    <t>10 м</t>
  </si>
  <si>
    <t>01.7.15.07-0005</t>
  </si>
  <si>
    <t>ФССЦ-2001, 01.7.15.07-0005, приказ Минстроя России № 876/пр от 26.12.2019</t>
  </si>
  <si>
    <t>Дюбели монтажные, размер 10x130 (10x132, 10x150) мм</t>
  </si>
  <si>
    <t>11.3.03.15-0021</t>
  </si>
  <si>
    <t>ФССЦ-2001, 11.3.03.15-0021, приказ Минстроя России № 876/пр от 26.12.2019</t>
  </si>
  <si>
    <t>Клинья пластиковые монтажные</t>
  </si>
  <si>
    <t>14.5.01.10-0003</t>
  </si>
  <si>
    <t>ФССЦ-2001, 14.5.01.10-0003, приказ Минстроя России № 876/пр от 26.12.2019</t>
  </si>
  <si>
    <t>Пена монтажная</t>
  </si>
  <si>
    <t>л</t>
  </si>
  <si>
    <t>1-100-36</t>
  </si>
  <si>
    <t>Рабочий среднего разряда 3.6</t>
  </si>
  <si>
    <t>01.7.20.08-0051</t>
  </si>
  <si>
    <t>ФССЦ-2001, 01.7.20.08-0051, приказ Минстроя России № 876/пр от 26.12.2019</t>
  </si>
  <si>
    <t>Ветошь</t>
  </si>
  <si>
    <t>1-100-42</t>
  </si>
  <si>
    <t>Рабочий среднего разряда 4.2</t>
  </si>
  <si>
    <t>91.17.04-233</t>
  </si>
  <si>
    <t>ФСЭМ-2001, 91.17.04-233 , приказ Минстроя России № 876/пр от 26.12.2019</t>
  </si>
  <si>
    <t>Установки для сварки ручной дуговой (постоянного тока)</t>
  </si>
  <si>
    <t>01.7.11.07-0032</t>
  </si>
  <si>
    <t>ФССЦ-2001, 01.7.11.07-0032, приказ Минстроя России № 876/пр от 26.12.2019</t>
  </si>
  <si>
    <t>Электроды сварочные Э42, диаметр 4 мм</t>
  </si>
  <si>
    <t>08.4.01.02-0011</t>
  </si>
  <si>
    <t>ФССЦ-2001, 08.4.01.02-0011, приказ Минстроя России № 876/пр от 26.12.2019</t>
  </si>
  <si>
    <t>Детали закладные и накладные, изготовленные без применения сварки, гнутья, сверления (пробивки) отверстий, поставляемые отдельно</t>
  </si>
  <si>
    <t>14.5.01.10-0025</t>
  </si>
  <si>
    <t>ФССЦ-2001, 14.5.01.10-0025, приказ Минстроя России № 876/пр от 26.12.2019</t>
  </si>
  <si>
    <t>Пена монтажная для герметизации стыков в баллончике емкостью 0,85 л</t>
  </si>
  <si>
    <t>01.7.15.04-0056</t>
  </si>
  <si>
    <t>ФССЦ-2001, 01.7.15.04-0056, приказ Минстроя России № 876/пр от 26.12.2019</t>
  </si>
  <si>
    <t>Винты самонарезающие, с уплотнительной прокладкой, размер 4,8x35 мм</t>
  </si>
  <si>
    <t>08.3.05.05</t>
  </si>
  <si>
    <t>Сталь листовая оцинкованная</t>
  </si>
  <si>
    <t>11.3.02.03</t>
  </si>
  <si>
    <t>Блоки оконные пластиковые</t>
  </si>
  <si>
    <t>11.3.03.01</t>
  </si>
  <si>
    <t>Доски подоконные ПВХ</t>
  </si>
  <si>
    <t>11.2.11.01</t>
  </si>
  <si>
    <t>Листы облицовочные декоративные</t>
  </si>
  <si>
    <t>14.1.05.04</t>
  </si>
  <si>
    <t>Клей</t>
  </si>
  <si>
    <t>14.4.01.04</t>
  </si>
  <si>
    <t>Грунтовка</t>
  </si>
  <si>
    <t>11.3.01.02</t>
  </si>
  <si>
    <t>Блоки дверные входные из поливинилхлоридных профилей</t>
  </si>
  <si>
    <t>01.7.04.07</t>
  </si>
  <si>
    <t>Скобяные изделия</t>
  </si>
  <si>
    <t>07.1.01.03</t>
  </si>
  <si>
    <t>Блоки дверные металлические</t>
  </si>
  <si>
    <t>01.7.04.01</t>
  </si>
  <si>
    <t>Доводчики дверные</t>
  </si>
  <si>
    <t>Поправка: М-ка 421/пр 04.08.20 п.58 п.п. б)  Наименование: При отсутствии необходимых норм (единичных расценок), включенных в сборники ГЭСНр (ФЕРр, ТЕРр), сметные затраты на работы по капитальному ремонту и реконструкции объектов капитального строительства могут быть определены по сметным нормам, включенным в ГЭСН (ФЕР, ТЕР), аналогичным технологическим процессам в новом строительстве, в том числе по возведению новых конструктивных элементов</t>
  </si>
  <si>
    <t>"СОГЛАСОВАНО"</t>
  </si>
  <si>
    <t>"УТВЕРЖДАЮ"</t>
  </si>
  <si>
    <t>"_____"________________ 2021 г.</t>
  </si>
  <si>
    <t>(наименование стройки)</t>
  </si>
  <si>
    <t>(наименование работ и затрат, наименование объекта)</t>
  </si>
  <si>
    <t xml:space="preserve">Основание: 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</si>
  <si>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</si>
  <si>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</si>
  <si>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</si>
  <si>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</si>
  <si>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</si>
  <si>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</si>
  <si>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</si>
  <si>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</si>
  <si>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</si>
  <si>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</si>
  <si>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</si>
  <si>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</si>
  <si>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</si>
  <si>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</si>
  <si>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</si>
  <si>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</si>
  <si>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</si>
  <si>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</si>
  <si>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</si>
  <si>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</si>
  <si>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</si>
  <si>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</si>
  <si>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</si>
  <si>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</si>
  <si>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</si>
  <si>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4й квартал 2020 года (Письмо Минстроя РФ № 44016-ИФ/09 от 02.11.2020 г., Административные здания)</t>
  </si>
  <si>
    <t>Зарплата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</si>
  <si>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</si>
  <si>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</si>
  <si>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</si>
  <si>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</si>
  <si>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</si>
  <si>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</si>
  <si>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>Материальные ресурсы</t>
  </si>
  <si>
    <r>
      <t>10-01-034-08</t>
    </r>
    <r>
      <rPr>
        <i/>
        <sz val="10"/>
        <rFont val="Arial"/>
        <family val="2"/>
        <charset val="204"/>
      </rPr>
      <t xml:space="preserve">
Поправка: М-ка 421/пр 04.08.20 п.58 п.п. б)</t>
    </r>
  </si>
  <si>
    <r>
      <t>Блок оконный из ПВХ-профилей, трехстворчатый, с поворотной и поворотно-откидной створкой, двухкамерным стеклопакетом (32 мм), площадью более 3,5 м2</t>
    </r>
    <r>
      <rPr>
        <i/>
        <sz val="10"/>
        <rFont val="Arial"/>
        <family val="2"/>
        <charset val="204"/>
      </rPr>
      <t xml:space="preserve">
Базисная стоимость: 1 022,01 = [9 480,2 / 1,2 /  7,73]</t>
    </r>
  </si>
  <si>
    <r>
      <t>10-01-035-03</t>
    </r>
    <r>
      <rPr>
        <i/>
        <sz val="10"/>
        <rFont val="Arial"/>
        <family val="2"/>
        <charset val="204"/>
      </rPr>
      <t xml:space="preserve">
Поправка: М-ка 421/пр 04.08.20 п.58 п.п. б)</t>
    </r>
  </si>
  <si>
    <r>
      <t>15-01-050-04</t>
    </r>
    <r>
      <rPr>
        <i/>
        <sz val="10"/>
        <rFont val="Arial"/>
        <family val="2"/>
        <charset val="204"/>
      </rPr>
      <t xml:space="preserve">
Поправка: М-ка 421/пр 04.08.20 п.58 п.п. б)</t>
    </r>
  </si>
  <si>
    <r>
      <t>10-01-047-02</t>
    </r>
    <r>
      <rPr>
        <i/>
        <sz val="10"/>
        <rFont val="Arial"/>
        <family val="2"/>
        <charset val="204"/>
      </rPr>
      <t xml:space="preserve">
Поправка: М-ка 421/пр 04.08.20 п.58 п.п. б)</t>
    </r>
  </si>
  <si>
    <r>
      <t>09-04-012-01</t>
    </r>
    <r>
      <rPr>
        <i/>
        <sz val="10"/>
        <rFont val="Arial"/>
        <family val="2"/>
        <charset val="204"/>
      </rPr>
      <t xml:space="preserve">
Поправка: М-ка 421/пр 04.08.20 п.58 п.п. б)</t>
    </r>
  </si>
  <si>
    <r>
      <t>09-04-012-02</t>
    </r>
    <r>
      <rPr>
        <i/>
        <sz val="10"/>
        <rFont val="Arial"/>
        <family val="2"/>
        <charset val="204"/>
      </rPr>
      <t xml:space="preserve">
Поправка: М-ка 421/пр 04.08.20 п.58 п.п. б)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</si>
  <si>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</si>
  <si>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</si>
  <si>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</si>
  <si>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</si>
  <si>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</si>
  <si>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>Приложение № 2 к Договору №_________________________ от "_______"___________2021 г.</t>
  </si>
  <si>
    <t>ФАУ МО РФ ЦСКА</t>
  </si>
  <si>
    <t>В.К. Стойлос</t>
  </si>
  <si>
    <t>Заказчик</t>
  </si>
  <si>
    <t>Подрядчик</t>
  </si>
  <si>
    <t>Замена оконных и дверных блоков в здании ЛФК ФАУ МО РФ ЦСКА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</si>
</sst>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\ #,##0.00"/>
  </numFmts>
  <fonts count="20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/>
    <xf numFmtId="0" fontId="9" fillId="0" borderId="0" xfId="0" applyFont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6" fillId="0" borderId="0" xfId="0" applyFont="1" applyAlignment="1">
      <alignment vertical="top" wrapText="1"/>
    </xf>
    <xf numFmtId="164" fontId="0" fillId="0" borderId="0" xfId="0" applyNumberFormat="1"/>
    <xf numFmtId="0" fontId="9" fillId="0" borderId="2" xfId="0" applyFont="1" applyBorder="1"/>
    <xf numFmtId="0" fontId="9" fillId="0" borderId="0" xfId="0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164" fontId="12" fillId="0" borderId="0" xfId="0" applyNumberFormat="1" applyFont="1" applyAlignment="1">
      <alignment horizontal="right"/>
    </xf>
    <xf numFmtId="0" fontId="17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0" fontId="9" fillId="0" borderId="2" xfId="0" quotePrefix="1" applyFont="1" applyBorder="1" applyAlignment="1">
      <alignment horizontal="right" wrapText="1"/>
    </xf>
    <xf numFmtId="0" fontId="9" fillId="0" borderId="2" xfId="0" applyFont="1" applyBorder="1" applyAlignment="1">
      <alignment horizontal="right" wrapText="1"/>
    </xf>
    <xf numFmtId="0" fontId="12" fillId="0" borderId="2" xfId="0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right" wrapText="1"/>
    </xf>
    <xf numFmtId="164" fontId="12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164" fontId="16" fillId="0" borderId="0" xfId="0" applyNumberFormat="1" applyFont="1" applyAlignment="1">
      <alignment horizontal="left"/>
    </xf>
    <xf numFmtId="0" fontId="14" fillId="0" borderId="2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13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12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7"/>
  <sheetViews>
    <sheetView tabSelected="1" topLeftCell="A120" zoomScaleNormal="100" workbookViewId="0">
      <selection activeCell="C134" sqref="C134"/>
    </sheetView>
  </sheetViews>
  <sheetFormatPr defaultRowHeight="12.75" x14ac:dyDescent="0.2"/>
  <cols>
    <col min="1" max="1" width="5.7109375" customWidth="1"/>
    <col min="2" max="2" width="12.855468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29" width="0" hidden="1" customWidth="1"/>
    <col min="30" max="30" width="147.7109375" hidden="1" customWidth="1"/>
    <col min="31" max="31" width="0" hidden="1" customWidth="1"/>
    <col min="32" max="32" width="91.7109375" hidden="1" customWidth="1"/>
    <col min="33" max="36" width="0" hidden="1" customWidth="1"/>
  </cols>
  <sheetData>
    <row r="1" spans="1:12" ht="14.25" x14ac:dyDescent="0.2">
      <c r="A1" s="9"/>
      <c r="B1" s="60" t="s">
        <v>440</v>
      </c>
      <c r="C1" s="60"/>
      <c r="D1" s="60"/>
      <c r="E1" s="60"/>
      <c r="F1" s="60"/>
      <c r="G1" s="60"/>
      <c r="H1" s="60"/>
      <c r="I1" s="60"/>
      <c r="J1" s="60"/>
      <c r="K1" s="60"/>
      <c r="L1" s="10"/>
    </row>
    <row r="2" spans="1:12" ht="16.5" x14ac:dyDescent="0.25">
      <c r="A2" s="11"/>
      <c r="B2" s="79" t="s">
        <v>388</v>
      </c>
      <c r="C2" s="79"/>
      <c r="D2" s="79"/>
      <c r="E2" s="79"/>
      <c r="F2" s="10"/>
      <c r="G2" s="10"/>
      <c r="H2" s="79" t="s">
        <v>389</v>
      </c>
      <c r="I2" s="79"/>
      <c r="J2" s="79"/>
      <c r="K2" s="79"/>
      <c r="L2" s="79"/>
    </row>
    <row r="3" spans="1:12" ht="14.25" x14ac:dyDescent="0.2">
      <c r="A3" s="10"/>
      <c r="B3" s="61" t="s">
        <v>444</v>
      </c>
      <c r="C3" s="61"/>
      <c r="D3" s="61"/>
      <c r="E3" s="61"/>
      <c r="F3" s="10"/>
      <c r="G3" s="10"/>
      <c r="H3" s="61" t="s">
        <v>443</v>
      </c>
      <c r="I3" s="61"/>
      <c r="J3" s="61"/>
      <c r="K3" s="61"/>
      <c r="L3" s="61"/>
    </row>
    <row r="4" spans="1:12" ht="14.25" x14ac:dyDescent="0.2">
      <c r="A4" s="59"/>
      <c r="B4" s="58"/>
      <c r="C4" s="58"/>
      <c r="D4" s="58"/>
      <c r="E4" s="58"/>
      <c r="F4" s="59"/>
      <c r="G4" s="59"/>
      <c r="H4" s="61" t="s">
        <v>441</v>
      </c>
      <c r="I4" s="61"/>
      <c r="J4" s="61"/>
      <c r="K4" s="61"/>
      <c r="L4" s="61"/>
    </row>
    <row r="5" spans="1:12" ht="14.25" x14ac:dyDescent="0.2">
      <c r="A5" s="12"/>
      <c r="B5" s="12"/>
      <c r="C5" s="13"/>
      <c r="D5" s="13"/>
      <c r="E5" s="13"/>
      <c r="F5" s="10"/>
      <c r="G5" s="10"/>
      <c r="H5" s="14"/>
      <c r="I5" s="13" t="s">
        <v>442</v>
      </c>
      <c r="J5" s="13"/>
      <c r="K5" s="13"/>
      <c r="L5" s="14"/>
    </row>
    <row r="6" spans="1:12" ht="14.25" x14ac:dyDescent="0.2">
      <c r="A6" s="14"/>
      <c r="B6" s="61" t="str">
        <f>CONCATENATE("______________________ ", IF(Source!AL12&lt;&gt;"", Source!AL12, ""))</f>
        <v xml:space="preserve">______________________ </v>
      </c>
      <c r="C6" s="61"/>
      <c r="D6" s="61"/>
      <c r="E6" s="61"/>
      <c r="F6" s="10"/>
      <c r="G6" s="10"/>
      <c r="H6" s="61" t="str">
        <f>CONCATENATE("______________________ ", IF(Source!AH12&lt;&gt;"", Source!AH12, ""))</f>
        <v xml:space="preserve">______________________ </v>
      </c>
      <c r="I6" s="61"/>
      <c r="J6" s="61"/>
      <c r="K6" s="61"/>
      <c r="L6" s="61"/>
    </row>
    <row r="7" spans="1:12" ht="14.25" x14ac:dyDescent="0.2">
      <c r="A7" s="15"/>
      <c r="B7" s="76" t="s">
        <v>390</v>
      </c>
      <c r="C7" s="76"/>
      <c r="D7" s="76"/>
      <c r="E7" s="76"/>
      <c r="F7" s="10"/>
      <c r="G7" s="10"/>
      <c r="H7" s="76" t="s">
        <v>390</v>
      </c>
      <c r="I7" s="76"/>
      <c r="J7" s="76"/>
      <c r="K7" s="76"/>
      <c r="L7" s="76"/>
    </row>
    <row r="10" spans="1:12" ht="15.75" x14ac:dyDescent="0.25">
      <c r="A10" s="15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15"/>
    </row>
    <row r="11" spans="1:12" ht="14.25" x14ac:dyDescent="0.2">
      <c r="A11" s="16"/>
      <c r="B11" s="78" t="s">
        <v>391</v>
      </c>
      <c r="C11" s="78"/>
      <c r="D11" s="78"/>
      <c r="E11" s="78"/>
      <c r="F11" s="78"/>
      <c r="G11" s="78"/>
      <c r="H11" s="78"/>
      <c r="I11" s="78"/>
      <c r="J11" s="78"/>
      <c r="K11" s="78"/>
      <c r="L11" s="15"/>
    </row>
    <row r="12" spans="1:12" ht="14.2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4.25" x14ac:dyDescent="0.2">
      <c r="A13" s="10"/>
      <c r="B13" s="10"/>
      <c r="C13" s="10"/>
      <c r="D13" s="10"/>
      <c r="E13" s="10"/>
      <c r="F13" s="68"/>
      <c r="G13" s="68"/>
      <c r="H13" s="63" t="str">
        <f>IF(Source!F12&lt;&gt;"Новый объект", Source!F12, "")</f>
        <v/>
      </c>
      <c r="I13" s="63"/>
      <c r="J13" s="63"/>
      <c r="K13" s="63"/>
      <c r="L13" s="17"/>
    </row>
    <row r="14" spans="1:12" ht="14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.75" x14ac:dyDescent="0.25">
      <c r="A15" s="18"/>
      <c r="B15" s="77" t="str">
        <f>CONCATENATE( "ЛОКАЛЬНЫЙ СМЕТНЫЙ РАСЧЕТ № ")</f>
        <v xml:space="preserve">ЛОКАЛЬНЫЙ СМЕТНЫЙ РАСЧЕТ № </v>
      </c>
      <c r="C15" s="77"/>
      <c r="D15" s="77"/>
      <c r="E15" s="77"/>
      <c r="F15" s="77"/>
      <c r="G15" s="77"/>
      <c r="H15" s="77"/>
      <c r="I15" s="77"/>
      <c r="J15" s="77"/>
      <c r="K15" s="77"/>
      <c r="L15" s="18"/>
    </row>
    <row r="16" spans="1:12" ht="15.75" x14ac:dyDescent="0.2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8"/>
    </row>
    <row r="17" spans="1:30" ht="18" hidden="1" x14ac:dyDescent="0.25">
      <c r="A17" s="18"/>
      <c r="B17" s="80" t="str">
        <f>IF(Source!G20&lt;&gt;"Новая локальная смета", Source!G20, "")</f>
        <v/>
      </c>
      <c r="C17" s="80"/>
      <c r="D17" s="80"/>
      <c r="E17" s="80"/>
      <c r="F17" s="80"/>
      <c r="G17" s="80"/>
      <c r="H17" s="80"/>
      <c r="I17" s="80"/>
      <c r="J17" s="80"/>
      <c r="K17" s="80"/>
      <c r="L17" s="18"/>
    </row>
    <row r="18" spans="1:30" ht="14.25" hidden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30" ht="36" x14ac:dyDescent="0.25">
      <c r="A19" s="10"/>
      <c r="B19" s="81" t="s">
        <v>445</v>
      </c>
      <c r="C19" s="81"/>
      <c r="D19" s="81"/>
      <c r="E19" s="81"/>
      <c r="F19" s="81"/>
      <c r="G19" s="81"/>
      <c r="H19" s="81"/>
      <c r="I19" s="81"/>
      <c r="J19" s="81"/>
      <c r="K19" s="81"/>
      <c r="L19" s="20"/>
      <c r="AD19" s="56" t="str">
        <f>IF(Source!G12&lt;&gt;"Новый объект", Source!G12, "")</f>
        <v>Замена оконных и дверных блоков в здании ФАУ МО РФ ЦСКА по адресу: 125167, г. Москва, Ленинградский проспект, д. 39, стр. 29</v>
      </c>
    </row>
    <row r="20" spans="1:30" ht="14.25" x14ac:dyDescent="0.2">
      <c r="A20" s="10"/>
      <c r="B20" s="74" t="s">
        <v>392</v>
      </c>
      <c r="C20" s="74"/>
      <c r="D20" s="74"/>
      <c r="E20" s="74"/>
      <c r="F20" s="74"/>
      <c r="G20" s="74"/>
      <c r="H20" s="74"/>
      <c r="I20" s="74"/>
      <c r="J20" s="74"/>
      <c r="K20" s="74"/>
      <c r="L20" s="15"/>
    </row>
    <row r="21" spans="1:30" ht="14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30" ht="14.25" x14ac:dyDescent="0.2">
      <c r="A22" s="63" t="s">
        <v>393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30" ht="14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30" ht="14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30" ht="14.25" x14ac:dyDescent="0.2">
      <c r="A25" s="10"/>
      <c r="B25" s="10"/>
      <c r="C25" s="10"/>
      <c r="D25" s="10"/>
      <c r="E25" s="21"/>
      <c r="F25" s="21"/>
      <c r="G25" s="75" t="s">
        <v>394</v>
      </c>
      <c r="H25" s="75"/>
      <c r="I25" s="75" t="s">
        <v>395</v>
      </c>
      <c r="J25" s="75"/>
      <c r="K25" s="10"/>
      <c r="L25" s="10"/>
    </row>
    <row r="26" spans="1:30" ht="15" x14ac:dyDescent="0.25">
      <c r="A26" s="10"/>
      <c r="B26" s="10"/>
      <c r="C26" s="71" t="s">
        <v>396</v>
      </c>
      <c r="D26" s="71"/>
      <c r="E26" s="71"/>
      <c r="F26" s="71"/>
      <c r="G26" s="64">
        <f>SUM(O41:O220)/1000</f>
        <v>101.33441000000002</v>
      </c>
      <c r="H26" s="64"/>
      <c r="I26" s="64">
        <f>(Source!F194/1000)</f>
        <v>939.99874</v>
      </c>
      <c r="J26" s="64"/>
      <c r="K26" s="72" t="s">
        <v>397</v>
      </c>
      <c r="L26" s="72"/>
    </row>
    <row r="27" spans="1:30" ht="14.25" x14ac:dyDescent="0.2">
      <c r="A27" s="10"/>
      <c r="B27" s="10"/>
      <c r="C27" s="73" t="s">
        <v>398</v>
      </c>
      <c r="D27" s="73"/>
      <c r="E27" s="73"/>
      <c r="F27" s="73"/>
      <c r="G27" s="64">
        <f>SUM(W41:W220)/1000</f>
        <v>101.33441000000002</v>
      </c>
      <c r="H27" s="64"/>
      <c r="I27" s="64">
        <f>(Source!F180)/1000</f>
        <v>783.33228000000008</v>
      </c>
      <c r="J27" s="64"/>
      <c r="K27" s="72" t="s">
        <v>397</v>
      </c>
      <c r="L27" s="72"/>
    </row>
    <row r="28" spans="1:30" ht="14.25" x14ac:dyDescent="0.2">
      <c r="A28" s="10"/>
      <c r="B28" s="10"/>
      <c r="C28" s="73" t="s">
        <v>399</v>
      </c>
      <c r="D28" s="73"/>
      <c r="E28" s="73"/>
      <c r="F28" s="73"/>
      <c r="G28" s="64">
        <f>SUM(X41:X220)/1000</f>
        <v>0</v>
      </c>
      <c r="H28" s="64"/>
      <c r="I28" s="64">
        <f>(Source!F181)/1000</f>
        <v>0</v>
      </c>
      <c r="J28" s="64"/>
      <c r="K28" s="72" t="s">
        <v>397</v>
      </c>
      <c r="L28" s="72"/>
    </row>
    <row r="29" spans="1:30" ht="14.25" x14ac:dyDescent="0.2">
      <c r="A29" s="10"/>
      <c r="B29" s="10"/>
      <c r="C29" s="73" t="s">
        <v>400</v>
      </c>
      <c r="D29" s="73"/>
      <c r="E29" s="73"/>
      <c r="F29" s="73"/>
      <c r="G29" s="64">
        <f>SUM(Y41:Y220)/1000</f>
        <v>0</v>
      </c>
      <c r="H29" s="64"/>
      <c r="I29" s="64">
        <f>(Source!F172)/1000</f>
        <v>0</v>
      </c>
      <c r="J29" s="64"/>
      <c r="K29" s="72" t="s">
        <v>397</v>
      </c>
      <c r="L29" s="72"/>
    </row>
    <row r="30" spans="1:30" ht="14.25" x14ac:dyDescent="0.2">
      <c r="A30" s="10"/>
      <c r="B30" s="10"/>
      <c r="C30" s="73" t="s">
        <v>401</v>
      </c>
      <c r="D30" s="73"/>
      <c r="E30" s="73"/>
      <c r="F30" s="73"/>
      <c r="G30" s="64">
        <f>SUM(Z41:Z220)/1000</f>
        <v>0</v>
      </c>
      <c r="H30" s="64"/>
      <c r="I30" s="64">
        <f>(Source!F182+Source!F183)/1000</f>
        <v>0</v>
      </c>
      <c r="J30" s="64"/>
      <c r="K30" s="72" t="s">
        <v>397</v>
      </c>
      <c r="L30" s="72"/>
    </row>
    <row r="31" spans="1:30" ht="15" x14ac:dyDescent="0.25">
      <c r="A31" s="10"/>
      <c r="B31" s="10"/>
      <c r="C31" s="71" t="s">
        <v>402</v>
      </c>
      <c r="D31" s="71"/>
      <c r="E31" s="71"/>
      <c r="F31" s="71"/>
      <c r="G31" s="64">
        <f>I31</f>
        <v>254.96</v>
      </c>
      <c r="H31" s="64"/>
      <c r="I31" s="64">
        <f>(Source!F185+Source!F186)</f>
        <v>254.96</v>
      </c>
      <c r="J31" s="64"/>
      <c r="K31" s="72" t="s">
        <v>403</v>
      </c>
      <c r="L31" s="72"/>
    </row>
    <row r="32" spans="1:30" ht="15" x14ac:dyDescent="0.25">
      <c r="A32" s="10"/>
      <c r="B32" s="10"/>
      <c r="C32" s="71" t="s">
        <v>404</v>
      </c>
      <c r="D32" s="71"/>
      <c r="E32" s="71"/>
      <c r="F32" s="71"/>
      <c r="G32" s="64">
        <f>SUM(R41:R220)/1000</f>
        <v>2.2782900000000001</v>
      </c>
      <c r="H32" s="64"/>
      <c r="I32" s="64">
        <f>(Source!F178+ Source!F177)/1000</f>
        <v>17.611210000000003</v>
      </c>
      <c r="J32" s="64"/>
      <c r="K32" s="72" t="s">
        <v>397</v>
      </c>
      <c r="L32" s="72"/>
    </row>
    <row r="33" spans="1:22" ht="14.25" hidden="1" x14ac:dyDescent="0.2">
      <c r="A33" s="10"/>
      <c r="B33" s="10"/>
      <c r="C33" s="73" t="s">
        <v>94</v>
      </c>
      <c r="D33" s="73"/>
      <c r="E33" s="73"/>
      <c r="F33" s="73"/>
      <c r="G33" s="64"/>
      <c r="H33" s="64"/>
      <c r="I33" s="64"/>
      <c r="J33" s="64"/>
      <c r="K33" s="22" t="s">
        <v>397</v>
      </c>
      <c r="L33" s="10"/>
    </row>
    <row r="34" spans="1:22" ht="15" x14ac:dyDescent="0.25">
      <c r="A34" s="10"/>
      <c r="B34" s="10"/>
      <c r="C34" s="23"/>
      <c r="D34" s="23"/>
      <c r="E34" s="23"/>
      <c r="F34" s="14"/>
      <c r="G34" s="24"/>
      <c r="H34" s="24"/>
      <c r="I34" s="24"/>
      <c r="J34" s="24"/>
      <c r="K34" s="24"/>
      <c r="L34" s="24"/>
    </row>
    <row r="35" spans="1:22" ht="15" hidden="1" x14ac:dyDescent="0.2">
      <c r="A35" s="14" t="s">
        <v>405</v>
      </c>
      <c r="B35" s="10"/>
      <c r="C35" s="10"/>
      <c r="D35" s="12"/>
      <c r="E35" s="10"/>
      <c r="F35" s="10"/>
      <c r="G35" s="25"/>
      <c r="H35" s="25"/>
      <c r="I35" s="26"/>
      <c r="J35" s="25"/>
      <c r="K35" s="25"/>
      <c r="L35" s="25"/>
    </row>
    <row r="36" spans="1:22" ht="15" hidden="1" x14ac:dyDescent="0.2">
      <c r="A36" s="14" t="s">
        <v>406</v>
      </c>
      <c r="B36" s="10"/>
      <c r="C36" s="10"/>
      <c r="D36" s="12"/>
      <c r="E36" s="10"/>
      <c r="F36" s="10"/>
      <c r="G36" s="25"/>
      <c r="H36" s="25"/>
      <c r="I36" s="26"/>
      <c r="J36" s="25"/>
      <c r="K36" s="25"/>
      <c r="L36" s="25"/>
    </row>
    <row r="37" spans="1:22" ht="15" hidden="1" x14ac:dyDescent="0.2">
      <c r="A37" s="10"/>
      <c r="B37" s="10"/>
      <c r="C37" s="9"/>
      <c r="D37" s="9"/>
      <c r="E37" s="9"/>
      <c r="F37" s="9"/>
      <c r="G37" s="25"/>
      <c r="H37" s="25"/>
      <c r="I37" s="26"/>
      <c r="J37" s="25"/>
      <c r="K37" s="25"/>
      <c r="L37" s="25"/>
    </row>
    <row r="38" spans="1:22" ht="14.25" x14ac:dyDescent="0.2">
      <c r="A38" s="70" t="s">
        <v>419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22" ht="57" x14ac:dyDescent="0.2">
      <c r="A39" s="27" t="s">
        <v>407</v>
      </c>
      <c r="B39" s="27" t="s">
        <v>408</v>
      </c>
      <c r="C39" s="27" t="s">
        <v>409</v>
      </c>
      <c r="D39" s="27" t="s">
        <v>410</v>
      </c>
      <c r="E39" s="27" t="s">
        <v>411</v>
      </c>
      <c r="F39" s="27" t="s">
        <v>412</v>
      </c>
      <c r="G39" s="27" t="s">
        <v>413</v>
      </c>
      <c r="H39" s="27" t="s">
        <v>414</v>
      </c>
      <c r="I39" s="27" t="s">
        <v>415</v>
      </c>
      <c r="J39" s="27" t="s">
        <v>416</v>
      </c>
      <c r="K39" s="27" t="s">
        <v>417</v>
      </c>
      <c r="L39" s="27" t="s">
        <v>418</v>
      </c>
    </row>
    <row r="40" spans="1:22" ht="14.25" x14ac:dyDescent="0.2">
      <c r="A40" s="28">
        <v>1</v>
      </c>
      <c r="B40" s="28">
        <v>2</v>
      </c>
      <c r="C40" s="28">
        <v>3</v>
      </c>
      <c r="D40" s="28">
        <v>4</v>
      </c>
      <c r="E40" s="28">
        <v>5</v>
      </c>
      <c r="F40" s="28">
        <v>6</v>
      </c>
      <c r="G40" s="28">
        <v>7</v>
      </c>
      <c r="H40" s="28">
        <v>8</v>
      </c>
      <c r="I40" s="28">
        <v>9</v>
      </c>
      <c r="J40" s="28">
        <v>10</v>
      </c>
      <c r="K40" s="28">
        <v>11</v>
      </c>
      <c r="L40" s="29">
        <v>12</v>
      </c>
    </row>
    <row r="42" spans="1:22" ht="16.5" x14ac:dyDescent="0.25">
      <c r="A42" s="65" t="str">
        <f>CONCATENATE("Раздел: ",IF(Source!G24&lt;&gt;"Новый раздел", Source!G24, ""))</f>
        <v>Раздел: Демонтажные работы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22" ht="99.75" x14ac:dyDescent="0.2">
      <c r="A43" s="22" t="str">
        <f>Source!E28</f>
        <v>1</v>
      </c>
      <c r="B43" s="52" t="str">
        <f>Source!F28</f>
        <v>56-3-2</v>
      </c>
      <c r="C43" s="52" t="str">
        <f>Source!G28</f>
        <v>Снятие подоконных досок: деревянных в каменных зданиях</v>
      </c>
      <c r="D43" s="36" t="str">
        <f>Source!H28</f>
        <v>100 м2</v>
      </c>
      <c r="E43" s="9">
        <f>Source!I28</f>
        <v>1.7999999999999999E-2</v>
      </c>
      <c r="F43" s="37">
        <f>Source!AL28+Source!AM28+Source!AO28</f>
        <v>761.66</v>
      </c>
      <c r="G43" s="38"/>
      <c r="H43" s="37"/>
      <c r="I43" s="38" t="str">
        <f>Source!BO28</f>
        <v>4й квартал 2020 года (Письмо Минстроя РФ № 44016-ИФ/09 от 02.11.2020 г., Административные здания)</v>
      </c>
      <c r="J43" s="38"/>
      <c r="K43" s="37"/>
      <c r="L43" s="39"/>
      <c r="S43">
        <f>ROUND((Source!FX28/100)*((ROUND(Source!AF28*Source!I28, 2)+ROUND(Source!AE28*Source!I28, 2))), 2)</f>
        <v>11.24</v>
      </c>
      <c r="T43">
        <f>Source!X28</f>
        <v>86.9</v>
      </c>
      <c r="U43">
        <f>ROUND((Source!FY28/100)*((ROUND(Source!AF28*Source!I28, 2)+ROUND(Source!AE28*Source!I28, 2))), 2)</f>
        <v>8.5</v>
      </c>
      <c r="V43">
        <f>Source!Y28</f>
        <v>65.709999999999994</v>
      </c>
    </row>
    <row r="44" spans="1:22" x14ac:dyDescent="0.2">
      <c r="C44" s="30" t="str">
        <f>"Объем: "&amp;Source!I28&amp;"=(0,6*"&amp;"3)/"&amp;"100"</f>
        <v>Объем: 0,018=(0,6*3)/100</v>
      </c>
    </row>
    <row r="45" spans="1:22" ht="14.25" x14ac:dyDescent="0.2">
      <c r="A45" s="22"/>
      <c r="B45" s="52"/>
      <c r="C45" s="52" t="s">
        <v>420</v>
      </c>
      <c r="D45" s="36"/>
      <c r="E45" s="9"/>
      <c r="F45" s="37">
        <f>Source!AO28</f>
        <v>761.66</v>
      </c>
      <c r="G45" s="38" t="str">
        <f>Source!DG28</f>
        <v/>
      </c>
      <c r="H45" s="37">
        <f>ROUND(Source!AF28*Source!I28, 2)</f>
        <v>13.71</v>
      </c>
      <c r="I45" s="38"/>
      <c r="J45" s="38">
        <f>IF(Source!BA28&lt;&gt; 0, Source!BA28, 1)</f>
        <v>7.73</v>
      </c>
      <c r="K45" s="37">
        <f>Source!S28</f>
        <v>105.98</v>
      </c>
      <c r="L45" s="39"/>
      <c r="R45">
        <f>H45</f>
        <v>13.71</v>
      </c>
    </row>
    <row r="46" spans="1:22" ht="14.25" x14ac:dyDescent="0.2">
      <c r="A46" s="22"/>
      <c r="B46" s="52"/>
      <c r="C46" s="52" t="s">
        <v>421</v>
      </c>
      <c r="D46" s="36" t="s">
        <v>422</v>
      </c>
      <c r="E46" s="9">
        <f>Source!BZ28</f>
        <v>82</v>
      </c>
      <c r="F46" s="55"/>
      <c r="G46" s="38"/>
      <c r="H46" s="37">
        <f>SUM(S43:S49)</f>
        <v>11.24</v>
      </c>
      <c r="I46" s="40"/>
      <c r="J46" s="35">
        <f>Source!AT28</f>
        <v>82</v>
      </c>
      <c r="K46" s="37">
        <f>SUM(T43:T49)</f>
        <v>86.9</v>
      </c>
      <c r="L46" s="39"/>
    </row>
    <row r="47" spans="1:22" ht="14.25" x14ac:dyDescent="0.2">
      <c r="A47" s="22"/>
      <c r="B47" s="52"/>
      <c r="C47" s="52" t="s">
        <v>423</v>
      </c>
      <c r="D47" s="36" t="s">
        <v>422</v>
      </c>
      <c r="E47" s="9">
        <f>Source!CA28</f>
        <v>62</v>
      </c>
      <c r="F47" s="55"/>
      <c r="G47" s="38"/>
      <c r="H47" s="37">
        <f>SUM(U43:U49)</f>
        <v>8.5</v>
      </c>
      <c r="I47" s="40"/>
      <c r="J47" s="35">
        <f>Source!AU28</f>
        <v>62</v>
      </c>
      <c r="K47" s="37">
        <f>SUM(V43:V49)</f>
        <v>65.709999999999994</v>
      </c>
      <c r="L47" s="39"/>
    </row>
    <row r="48" spans="1:22" ht="14.25" x14ac:dyDescent="0.2">
      <c r="A48" s="22"/>
      <c r="B48" s="52"/>
      <c r="C48" s="52" t="s">
        <v>424</v>
      </c>
      <c r="D48" s="36" t="s">
        <v>425</v>
      </c>
      <c r="E48" s="9">
        <f>Source!AQ28</f>
        <v>94.97</v>
      </c>
      <c r="F48" s="37"/>
      <c r="G48" s="38" t="str">
        <f>Source!DI28</f>
        <v/>
      </c>
      <c r="H48" s="37"/>
      <c r="I48" s="38"/>
      <c r="J48" s="38"/>
      <c r="K48" s="37"/>
      <c r="L48" s="41">
        <f>Source!U28</f>
        <v>1.7094599999999998</v>
      </c>
    </row>
    <row r="49" spans="1:26" ht="14.25" x14ac:dyDescent="0.2">
      <c r="A49" s="53" t="str">
        <f>Source!E29</f>
        <v>1,1</v>
      </c>
      <c r="B49" s="54" t="str">
        <f>Source!F29</f>
        <v>999-9900</v>
      </c>
      <c r="C49" s="54" t="str">
        <f>Source!G29</f>
        <v>Строительный мусор</v>
      </c>
      <c r="D49" s="42" t="str">
        <f>Source!H29</f>
        <v>т</v>
      </c>
      <c r="E49" s="43">
        <f>Source!I29</f>
        <v>6.3E-2</v>
      </c>
      <c r="F49" s="44">
        <f>Source!AL29+Source!AM29+Source!AO29</f>
        <v>0</v>
      </c>
      <c r="G49" s="45" t="s">
        <v>3</v>
      </c>
      <c r="H49" s="44">
        <f>ROUND(Source!AC29*Source!I29, 2)+ROUND(Source!AD29*Source!I29, 2)+ROUND(Source!AF29*Source!I29, 2)</f>
        <v>0</v>
      </c>
      <c r="I49" s="46"/>
      <c r="J49" s="46">
        <f>IF(Source!BC29&lt;&gt; 0, Source!BC29, 1)</f>
        <v>7.73</v>
      </c>
      <c r="K49" s="44">
        <f>Source!O29</f>
        <v>0</v>
      </c>
      <c r="L49" s="47"/>
      <c r="S49">
        <f>ROUND((Source!FX29/100)*((ROUND(Source!AF29*Source!I29, 2)+ROUND(Source!AE29*Source!I29, 2))), 2)</f>
        <v>0</v>
      </c>
      <c r="T49">
        <f>Source!X29</f>
        <v>0</v>
      </c>
      <c r="U49">
        <f>ROUND((Source!FY29/100)*((ROUND(Source!AF29*Source!I29, 2)+ROUND(Source!AE29*Source!I29, 2))), 2)</f>
        <v>0</v>
      </c>
      <c r="V49">
        <f>Source!Y29</f>
        <v>0</v>
      </c>
      <c r="W49">
        <f>IF(Source!BI29&lt;=1,H49, 0)</f>
        <v>0</v>
      </c>
      <c r="X49">
        <f>IF(Source!BI29=2,H49, 0)</f>
        <v>0</v>
      </c>
      <c r="Y49">
        <f>IF(Source!BI29=3,H49, 0)</f>
        <v>0</v>
      </c>
      <c r="Z49">
        <f>IF(Source!BI29=4,H49, 0)</f>
        <v>0</v>
      </c>
    </row>
    <row r="50" spans="1:26" ht="15" x14ac:dyDescent="0.25">
      <c r="G50" s="62">
        <f>H45+H46+H47+SUM(H49:H49)</f>
        <v>33.450000000000003</v>
      </c>
      <c r="H50" s="62"/>
      <c r="J50" s="62">
        <f>K45+K46+K47+SUM(K49:K49)</f>
        <v>258.58999999999997</v>
      </c>
      <c r="K50" s="62"/>
      <c r="L50" s="48">
        <f>Source!U28</f>
        <v>1.7094599999999998</v>
      </c>
      <c r="O50" s="31">
        <f>G50</f>
        <v>33.450000000000003</v>
      </c>
      <c r="P50" s="31">
        <f>J50</f>
        <v>258.58999999999997</v>
      </c>
      <c r="Q50" s="31">
        <f>L50</f>
        <v>1.7094599999999998</v>
      </c>
      <c r="W50">
        <f>IF(Source!BI28&lt;=1,H45+H46+H47, 0)</f>
        <v>33.450000000000003</v>
      </c>
      <c r="X50">
        <f>IF(Source!BI28=2,H45+H46+H47, 0)</f>
        <v>0</v>
      </c>
      <c r="Y50">
        <f>IF(Source!BI28=3,H45+H46+H47, 0)</f>
        <v>0</v>
      </c>
      <c r="Z50">
        <f>IF(Source!BI28=4,H45+H46+H47, 0)</f>
        <v>0</v>
      </c>
    </row>
    <row r="51" spans="1:26" ht="99.75" x14ac:dyDescent="0.2">
      <c r="A51" s="22" t="str">
        <f>Source!E30</f>
        <v>2</v>
      </c>
      <c r="B51" s="52" t="str">
        <f>Source!F30</f>
        <v>56-2-2</v>
      </c>
      <c r="C51" s="52" t="str">
        <f>Source!G30</f>
        <v>Снятие оконных переплетов: остекленных</v>
      </c>
      <c r="D51" s="36" t="str">
        <f>Source!H30</f>
        <v>100 м2</v>
      </c>
      <c r="E51" s="9">
        <f>Source!I30</f>
        <v>0.65200000000000002</v>
      </c>
      <c r="F51" s="37">
        <f>Source!AL30+Source!AM30+Source!AO30</f>
        <v>398.87</v>
      </c>
      <c r="G51" s="38"/>
      <c r="H51" s="37"/>
      <c r="I51" s="38" t="str">
        <f>Source!BO30</f>
        <v>4й квартал 2020 года (Письмо Минстроя РФ № 44016-ИФ/09 от 02.11.2020 г., Административные здания)</v>
      </c>
      <c r="J51" s="38"/>
      <c r="K51" s="37"/>
      <c r="L51" s="39"/>
      <c r="S51">
        <f>ROUND((Source!FX30/100)*((ROUND(Source!AF30*Source!I30, 2)+ROUND(Source!AE30*Source!I30, 2))), 2)</f>
        <v>204.43</v>
      </c>
      <c r="T51">
        <f>Source!X30</f>
        <v>1580.21</v>
      </c>
      <c r="U51">
        <f>ROUND((Source!FY30/100)*((ROUND(Source!AF30*Source!I30, 2)+ROUND(Source!AE30*Source!I30, 2))), 2)</f>
        <v>154.57</v>
      </c>
      <c r="V51">
        <f>Source!Y30</f>
        <v>1194.79</v>
      </c>
    </row>
    <row r="52" spans="1:26" x14ac:dyDescent="0.2">
      <c r="C52" s="30" t="str">
        <f>"Объем: "&amp;Source!I30&amp;"=65,2/"&amp;"100"</f>
        <v>Объем: 0,652=65,2/100</v>
      </c>
    </row>
    <row r="53" spans="1:26" ht="14.25" x14ac:dyDescent="0.2">
      <c r="A53" s="22"/>
      <c r="B53" s="52"/>
      <c r="C53" s="52" t="s">
        <v>420</v>
      </c>
      <c r="D53" s="36"/>
      <c r="E53" s="9"/>
      <c r="F53" s="37">
        <f>Source!AO30</f>
        <v>369.8</v>
      </c>
      <c r="G53" s="38" t="str">
        <f>Source!DG30</f>
        <v/>
      </c>
      <c r="H53" s="37">
        <f>ROUND(Source!AF30*Source!I30, 2)</f>
        <v>241.11</v>
      </c>
      <c r="I53" s="38"/>
      <c r="J53" s="38">
        <f>IF(Source!BA30&lt;&gt; 0, Source!BA30, 1)</f>
        <v>7.73</v>
      </c>
      <c r="K53" s="37">
        <f>Source!S30</f>
        <v>1863.78</v>
      </c>
      <c r="L53" s="39"/>
      <c r="R53">
        <f>H53</f>
        <v>241.11</v>
      </c>
    </row>
    <row r="54" spans="1:26" ht="14.25" x14ac:dyDescent="0.2">
      <c r="A54" s="22"/>
      <c r="B54" s="52"/>
      <c r="C54" s="52" t="s">
        <v>76</v>
      </c>
      <c r="D54" s="36"/>
      <c r="E54" s="9"/>
      <c r="F54" s="37">
        <f>Source!AM30</f>
        <v>29.07</v>
      </c>
      <c r="G54" s="38" t="str">
        <f>Source!DE30</f>
        <v/>
      </c>
      <c r="H54" s="37">
        <f>ROUND(Source!AD30*Source!I30, 2)</f>
        <v>18.95</v>
      </c>
      <c r="I54" s="38"/>
      <c r="J54" s="38">
        <f>IF(Source!BB30&lt;&gt; 0, Source!BB30, 1)</f>
        <v>7.73</v>
      </c>
      <c r="K54" s="37">
        <f>Source!Q30</f>
        <v>146.51</v>
      </c>
      <c r="L54" s="39"/>
    </row>
    <row r="55" spans="1:26" ht="14.25" x14ac:dyDescent="0.2">
      <c r="A55" s="22"/>
      <c r="B55" s="52"/>
      <c r="C55" s="52" t="s">
        <v>426</v>
      </c>
      <c r="D55" s="36"/>
      <c r="E55" s="9"/>
      <c r="F55" s="37">
        <f>Source!AN30</f>
        <v>12.56</v>
      </c>
      <c r="G55" s="38" t="str">
        <f>Source!DF30</f>
        <v/>
      </c>
      <c r="H55" s="49">
        <f>ROUND(Source!AE30*Source!I30, 2)</f>
        <v>8.19</v>
      </c>
      <c r="I55" s="38"/>
      <c r="J55" s="38">
        <f>IF(Source!BS30&lt;&gt; 0, Source!BS30, 1)</f>
        <v>7.73</v>
      </c>
      <c r="K55" s="49">
        <f>Source!R30</f>
        <v>63.3</v>
      </c>
      <c r="L55" s="39"/>
      <c r="R55">
        <f>H55</f>
        <v>8.19</v>
      </c>
    </row>
    <row r="56" spans="1:26" ht="14.25" x14ac:dyDescent="0.2">
      <c r="A56" s="22"/>
      <c r="B56" s="52"/>
      <c r="C56" s="52" t="s">
        <v>421</v>
      </c>
      <c r="D56" s="36" t="s">
        <v>422</v>
      </c>
      <c r="E56" s="9">
        <f>Source!BZ30</f>
        <v>82</v>
      </c>
      <c r="F56" s="55"/>
      <c r="G56" s="38"/>
      <c r="H56" s="37">
        <f>SUM(S51:S59)</f>
        <v>204.43</v>
      </c>
      <c r="I56" s="40"/>
      <c r="J56" s="35">
        <f>Source!AT30</f>
        <v>82</v>
      </c>
      <c r="K56" s="37">
        <f>SUM(T51:T59)</f>
        <v>1580.21</v>
      </c>
      <c r="L56" s="39"/>
    </row>
    <row r="57" spans="1:26" ht="14.25" x14ac:dyDescent="0.2">
      <c r="A57" s="22"/>
      <c r="B57" s="52"/>
      <c r="C57" s="52" t="s">
        <v>423</v>
      </c>
      <c r="D57" s="36" t="s">
        <v>422</v>
      </c>
      <c r="E57" s="9">
        <f>Source!CA30</f>
        <v>62</v>
      </c>
      <c r="F57" s="55"/>
      <c r="G57" s="38"/>
      <c r="H57" s="37">
        <f>SUM(U51:U59)</f>
        <v>154.57</v>
      </c>
      <c r="I57" s="40"/>
      <c r="J57" s="35">
        <f>Source!AU30</f>
        <v>62</v>
      </c>
      <c r="K57" s="37">
        <f>SUM(V51:V59)</f>
        <v>1194.79</v>
      </c>
      <c r="L57" s="39"/>
    </row>
    <row r="58" spans="1:26" ht="14.25" x14ac:dyDescent="0.2">
      <c r="A58" s="22"/>
      <c r="B58" s="52"/>
      <c r="C58" s="52" t="s">
        <v>424</v>
      </c>
      <c r="D58" s="36" t="s">
        <v>425</v>
      </c>
      <c r="E58" s="9">
        <f>Source!AQ30</f>
        <v>46.11</v>
      </c>
      <c r="F58" s="37"/>
      <c r="G58" s="38" t="str">
        <f>Source!DI30</f>
        <v/>
      </c>
      <c r="H58" s="37"/>
      <c r="I58" s="38"/>
      <c r="J58" s="38"/>
      <c r="K58" s="37"/>
      <c r="L58" s="41">
        <f>Source!U30</f>
        <v>30.06372</v>
      </c>
    </row>
    <row r="59" spans="1:26" ht="14.25" x14ac:dyDescent="0.2">
      <c r="A59" s="53" t="str">
        <f>Source!E31</f>
        <v>2,1</v>
      </c>
      <c r="B59" s="54" t="str">
        <f>Source!F31</f>
        <v>999-9900</v>
      </c>
      <c r="C59" s="54" t="str">
        <f>Source!G31</f>
        <v>Строительный мусор</v>
      </c>
      <c r="D59" s="42" t="str">
        <f>Source!H31</f>
        <v>т</v>
      </c>
      <c r="E59" s="43">
        <f>Source!I31</f>
        <v>2.2298399999999998</v>
      </c>
      <c r="F59" s="44">
        <f>Source!AL31+Source!AM31+Source!AO31</f>
        <v>0</v>
      </c>
      <c r="G59" s="45" t="s">
        <v>3</v>
      </c>
      <c r="H59" s="44">
        <f>ROUND(Source!AC31*Source!I31, 2)+ROUND(Source!AD31*Source!I31, 2)+ROUND(Source!AF31*Source!I31, 2)</f>
        <v>0</v>
      </c>
      <c r="I59" s="46"/>
      <c r="J59" s="46">
        <f>IF(Source!BC31&lt;&gt; 0, Source!BC31, 1)</f>
        <v>7.73</v>
      </c>
      <c r="K59" s="44">
        <f>Source!O31</f>
        <v>0</v>
      </c>
      <c r="L59" s="47"/>
      <c r="S59">
        <f>ROUND((Source!FX31/100)*((ROUND(Source!AF31*Source!I31, 2)+ROUND(Source!AE31*Source!I31, 2))), 2)</f>
        <v>0</v>
      </c>
      <c r="T59">
        <f>Source!X31</f>
        <v>0</v>
      </c>
      <c r="U59">
        <f>ROUND((Source!FY31/100)*((ROUND(Source!AF31*Source!I31, 2)+ROUND(Source!AE31*Source!I31, 2))), 2)</f>
        <v>0</v>
      </c>
      <c r="V59">
        <f>Source!Y31</f>
        <v>0</v>
      </c>
      <c r="W59">
        <f>IF(Source!BI31&lt;=1,H59, 0)</f>
        <v>0</v>
      </c>
      <c r="X59">
        <f>IF(Source!BI31=2,H59, 0)</f>
        <v>0</v>
      </c>
      <c r="Y59">
        <f>IF(Source!BI31=3,H59, 0)</f>
        <v>0</v>
      </c>
      <c r="Z59">
        <f>IF(Source!BI31=4,H59, 0)</f>
        <v>0</v>
      </c>
    </row>
    <row r="60" spans="1:26" ht="15" x14ac:dyDescent="0.25">
      <c r="G60" s="62">
        <f>H53+H54+H56+H57+SUM(H59:H59)</f>
        <v>619.05999999999995</v>
      </c>
      <c r="H60" s="62"/>
      <c r="J60" s="62">
        <f>K53+K54+K56+K57+SUM(K59:K59)</f>
        <v>4785.29</v>
      </c>
      <c r="K60" s="62"/>
      <c r="L60" s="48">
        <f>Source!U30</f>
        <v>30.06372</v>
      </c>
      <c r="O60" s="31">
        <f>G60</f>
        <v>619.05999999999995</v>
      </c>
      <c r="P60" s="31">
        <f>J60</f>
        <v>4785.29</v>
      </c>
      <c r="Q60" s="31">
        <f>L60</f>
        <v>30.06372</v>
      </c>
      <c r="W60">
        <f>IF(Source!BI30&lt;=1,H53+H54+H56+H57, 0)</f>
        <v>619.05999999999995</v>
      </c>
      <c r="X60">
        <f>IF(Source!BI30=2,H53+H54+H56+H57, 0)</f>
        <v>0</v>
      </c>
      <c r="Y60">
        <f>IF(Source!BI30=3,H53+H54+H56+H57, 0)</f>
        <v>0</v>
      </c>
      <c r="Z60">
        <f>IF(Source!BI30=4,H53+H54+H56+H57, 0)</f>
        <v>0</v>
      </c>
    </row>
    <row r="61" spans="1:26" ht="99.75" x14ac:dyDescent="0.2">
      <c r="A61" s="22" t="str">
        <f>Source!E32</f>
        <v>3</v>
      </c>
      <c r="B61" s="52" t="str">
        <f>Source!F32</f>
        <v>56-1-1</v>
      </c>
      <c r="C61" s="52" t="str">
        <f>Source!G32</f>
        <v>Демонтаж оконных коробок: в каменных стенах с отбивкой штукатурки в откосах</v>
      </c>
      <c r="D61" s="36" t="str">
        <f>Source!H32</f>
        <v>100 ШТ</v>
      </c>
      <c r="E61" s="9">
        <f>Source!I32</f>
        <v>0.13</v>
      </c>
      <c r="F61" s="37">
        <f>Source!AL32+Source!AM32+Source!AO32</f>
        <v>1148.79</v>
      </c>
      <c r="G61" s="38"/>
      <c r="H61" s="37"/>
      <c r="I61" s="38" t="str">
        <f>Source!BO32</f>
        <v>4й квартал 2020 года (Письмо Минстроя РФ № 44016-ИФ/09 от 02.11.2020 г., Административные здания)</v>
      </c>
      <c r="J61" s="38"/>
      <c r="K61" s="37"/>
      <c r="L61" s="39"/>
      <c r="S61">
        <f>ROUND((Source!FX32/100)*((ROUND(Source!AF32*Source!I32, 2)+ROUND(Source!AE32*Source!I32, 2))), 2)</f>
        <v>113.12</v>
      </c>
      <c r="T61">
        <f>Source!X32</f>
        <v>874.42</v>
      </c>
      <c r="U61">
        <f>ROUND((Source!FY32/100)*((ROUND(Source!AF32*Source!I32, 2)+ROUND(Source!AE32*Source!I32, 2))), 2)</f>
        <v>85.53</v>
      </c>
      <c r="V61">
        <f>Source!Y32</f>
        <v>661.15</v>
      </c>
    </row>
    <row r="62" spans="1:26" x14ac:dyDescent="0.2">
      <c r="C62" s="30" t="str">
        <f>"Объем: "&amp;Source!I32&amp;"=13/"&amp;"100"</f>
        <v>Объем: 0,13=13/100</v>
      </c>
    </row>
    <row r="63" spans="1:26" ht="14.25" x14ac:dyDescent="0.2">
      <c r="A63" s="22"/>
      <c r="B63" s="52"/>
      <c r="C63" s="52" t="s">
        <v>420</v>
      </c>
      <c r="D63" s="36"/>
      <c r="E63" s="9"/>
      <c r="F63" s="37">
        <f>Source!AO32</f>
        <v>1051.72</v>
      </c>
      <c r="G63" s="38" t="str">
        <f>Source!DG32</f>
        <v/>
      </c>
      <c r="H63" s="37">
        <f>ROUND(Source!AF32*Source!I32, 2)</f>
        <v>136.72</v>
      </c>
      <c r="I63" s="38"/>
      <c r="J63" s="38">
        <f>IF(Source!BA32&lt;&gt; 0, Source!BA32, 1)</f>
        <v>7.73</v>
      </c>
      <c r="K63" s="37">
        <f>Source!S32</f>
        <v>1056.8699999999999</v>
      </c>
      <c r="L63" s="39"/>
      <c r="R63">
        <f>H63</f>
        <v>136.72</v>
      </c>
    </row>
    <row r="64" spans="1:26" ht="14.25" x14ac:dyDescent="0.2">
      <c r="A64" s="22"/>
      <c r="B64" s="52"/>
      <c r="C64" s="52" t="s">
        <v>76</v>
      </c>
      <c r="D64" s="36"/>
      <c r="E64" s="9"/>
      <c r="F64" s="37">
        <f>Source!AM32</f>
        <v>97.07</v>
      </c>
      <c r="G64" s="38" t="str">
        <f>Source!DE32</f>
        <v/>
      </c>
      <c r="H64" s="37">
        <f>ROUND(Source!AD32*Source!I32, 2)</f>
        <v>12.62</v>
      </c>
      <c r="I64" s="38"/>
      <c r="J64" s="38">
        <f>IF(Source!BB32&lt;&gt; 0, Source!BB32, 1)</f>
        <v>7.73</v>
      </c>
      <c r="K64" s="37">
        <f>Source!Q32</f>
        <v>97.55</v>
      </c>
      <c r="L64" s="39"/>
    </row>
    <row r="65" spans="1:26" ht="14.25" x14ac:dyDescent="0.2">
      <c r="A65" s="22"/>
      <c r="B65" s="52"/>
      <c r="C65" s="52" t="s">
        <v>426</v>
      </c>
      <c r="D65" s="36"/>
      <c r="E65" s="9"/>
      <c r="F65" s="37">
        <f>Source!AN32</f>
        <v>9.4499999999999993</v>
      </c>
      <c r="G65" s="38" t="str">
        <f>Source!DF32</f>
        <v/>
      </c>
      <c r="H65" s="49">
        <f>ROUND(Source!AE32*Source!I32, 2)</f>
        <v>1.23</v>
      </c>
      <c r="I65" s="38"/>
      <c r="J65" s="38">
        <f>IF(Source!BS32&lt;&gt; 0, Source!BS32, 1)</f>
        <v>7.73</v>
      </c>
      <c r="K65" s="49">
        <f>Source!R32</f>
        <v>9.5</v>
      </c>
      <c r="L65" s="39"/>
      <c r="R65">
        <f>H65</f>
        <v>1.23</v>
      </c>
    </row>
    <row r="66" spans="1:26" ht="14.25" x14ac:dyDescent="0.2">
      <c r="A66" s="22"/>
      <c r="B66" s="52"/>
      <c r="C66" s="52" t="s">
        <v>421</v>
      </c>
      <c r="D66" s="36" t="s">
        <v>422</v>
      </c>
      <c r="E66" s="9">
        <f>Source!BZ32</f>
        <v>82</v>
      </c>
      <c r="F66" s="55"/>
      <c r="G66" s="38"/>
      <c r="H66" s="37">
        <f>SUM(S61:S69)</f>
        <v>113.12</v>
      </c>
      <c r="I66" s="40"/>
      <c r="J66" s="35">
        <f>Source!AT32</f>
        <v>82</v>
      </c>
      <c r="K66" s="37">
        <f>SUM(T61:T69)</f>
        <v>874.42</v>
      </c>
      <c r="L66" s="39"/>
    </row>
    <row r="67" spans="1:26" ht="14.25" x14ac:dyDescent="0.2">
      <c r="A67" s="22"/>
      <c r="B67" s="52"/>
      <c r="C67" s="52" t="s">
        <v>423</v>
      </c>
      <c r="D67" s="36" t="s">
        <v>422</v>
      </c>
      <c r="E67" s="9">
        <f>Source!CA32</f>
        <v>62</v>
      </c>
      <c r="F67" s="55"/>
      <c r="G67" s="38"/>
      <c r="H67" s="37">
        <f>SUM(U61:U69)</f>
        <v>85.53</v>
      </c>
      <c r="I67" s="40"/>
      <c r="J67" s="35">
        <f>Source!AU32</f>
        <v>62</v>
      </c>
      <c r="K67" s="37">
        <f>SUM(V61:V69)</f>
        <v>661.15</v>
      </c>
      <c r="L67" s="39"/>
    </row>
    <row r="68" spans="1:26" ht="14.25" x14ac:dyDescent="0.2">
      <c r="A68" s="22"/>
      <c r="B68" s="52"/>
      <c r="C68" s="52" t="s">
        <v>424</v>
      </c>
      <c r="D68" s="36" t="s">
        <v>425</v>
      </c>
      <c r="E68" s="9">
        <f>Source!AQ32</f>
        <v>128.72999999999999</v>
      </c>
      <c r="F68" s="37"/>
      <c r="G68" s="38" t="str">
        <f>Source!DI32</f>
        <v/>
      </c>
      <c r="H68" s="37"/>
      <c r="I68" s="38"/>
      <c r="J68" s="38"/>
      <c r="K68" s="37"/>
      <c r="L68" s="41">
        <f>Source!U32</f>
        <v>16.7349</v>
      </c>
    </row>
    <row r="69" spans="1:26" ht="14.25" x14ac:dyDescent="0.2">
      <c r="A69" s="53" t="str">
        <f>Source!E33</f>
        <v>3,1</v>
      </c>
      <c r="B69" s="54" t="str">
        <f>Source!F33</f>
        <v>999-9900</v>
      </c>
      <c r="C69" s="54" t="str">
        <f>Source!G33</f>
        <v>Строительный мусор</v>
      </c>
      <c r="D69" s="42" t="str">
        <f>Source!H33</f>
        <v>т</v>
      </c>
      <c r="E69" s="43">
        <f>Source!I33</f>
        <v>1.3857999999999999</v>
      </c>
      <c r="F69" s="44">
        <f>Source!AL33+Source!AM33+Source!AO33</f>
        <v>0</v>
      </c>
      <c r="G69" s="45" t="s">
        <v>3</v>
      </c>
      <c r="H69" s="44">
        <f>ROUND(Source!AC33*Source!I33, 2)+ROUND(Source!AD33*Source!I33, 2)+ROUND(Source!AF33*Source!I33, 2)</f>
        <v>0</v>
      </c>
      <c r="I69" s="46"/>
      <c r="J69" s="46">
        <f>IF(Source!BC33&lt;&gt; 0, Source!BC33, 1)</f>
        <v>7.73</v>
      </c>
      <c r="K69" s="44">
        <f>Source!O33</f>
        <v>0</v>
      </c>
      <c r="L69" s="47"/>
      <c r="S69">
        <f>ROUND((Source!FX33/100)*((ROUND(Source!AF33*Source!I33, 2)+ROUND(Source!AE33*Source!I33, 2))), 2)</f>
        <v>0</v>
      </c>
      <c r="T69">
        <f>Source!X33</f>
        <v>0</v>
      </c>
      <c r="U69">
        <f>ROUND((Source!FY33/100)*((ROUND(Source!AF33*Source!I33, 2)+ROUND(Source!AE33*Source!I33, 2))), 2)</f>
        <v>0</v>
      </c>
      <c r="V69">
        <f>Source!Y33</f>
        <v>0</v>
      </c>
      <c r="W69">
        <f>IF(Source!BI33&lt;=1,H69, 0)</f>
        <v>0</v>
      </c>
      <c r="X69">
        <f>IF(Source!BI33=2,H69, 0)</f>
        <v>0</v>
      </c>
      <c r="Y69">
        <f>IF(Source!BI33=3,H69, 0)</f>
        <v>0</v>
      </c>
      <c r="Z69">
        <f>IF(Source!BI33=4,H69, 0)</f>
        <v>0</v>
      </c>
    </row>
    <row r="70" spans="1:26" ht="15" x14ac:dyDescent="0.25">
      <c r="G70" s="62">
        <f>H63+H64+H66+H67+SUM(H69:H69)</f>
        <v>347.99</v>
      </c>
      <c r="H70" s="62"/>
      <c r="J70" s="62">
        <f>K63+K64+K66+K67+SUM(K69:K69)</f>
        <v>2689.99</v>
      </c>
      <c r="K70" s="62"/>
      <c r="L70" s="48">
        <f>Source!U32</f>
        <v>16.7349</v>
      </c>
      <c r="O70" s="31">
        <f>G70</f>
        <v>347.99</v>
      </c>
      <c r="P70" s="31">
        <f>J70</f>
        <v>2689.99</v>
      </c>
      <c r="Q70" s="31">
        <f>L70</f>
        <v>16.7349</v>
      </c>
      <c r="W70">
        <f>IF(Source!BI32&lt;=1,H63+H64+H66+H67, 0)</f>
        <v>347.99</v>
      </c>
      <c r="X70">
        <f>IF(Source!BI32=2,H63+H64+H66+H67, 0)</f>
        <v>0</v>
      </c>
      <c r="Y70">
        <f>IF(Source!BI32=3,H63+H64+H66+H67, 0)</f>
        <v>0</v>
      </c>
      <c r="Z70">
        <f>IF(Source!BI32=4,H63+H64+H66+H67, 0)</f>
        <v>0</v>
      </c>
    </row>
    <row r="71" spans="1:26" ht="99.75" x14ac:dyDescent="0.2">
      <c r="A71" s="22" t="str">
        <f>Source!E34</f>
        <v>4</v>
      </c>
      <c r="B71" s="52" t="str">
        <f>Source!F34</f>
        <v>56-11-1</v>
      </c>
      <c r="C71" s="52" t="str">
        <f>Source!G34</f>
        <v>Снятие наличников</v>
      </c>
      <c r="D71" s="36" t="str">
        <f>Source!H34</f>
        <v>100 м</v>
      </c>
      <c r="E71" s="9">
        <f>Source!I34</f>
        <v>0.3</v>
      </c>
      <c r="F71" s="37">
        <f>Source!AL34+Source!AM34+Source!AO34</f>
        <v>33.43</v>
      </c>
      <c r="G71" s="38"/>
      <c r="H71" s="37"/>
      <c r="I71" s="38" t="str">
        <f>Source!BO34</f>
        <v>4й квартал 2020 года (Письмо Минстроя РФ № 44016-ИФ/09 от 02.11.2020 г., Административные здания)</v>
      </c>
      <c r="J71" s="38"/>
      <c r="K71" s="37"/>
      <c r="L71" s="39"/>
      <c r="S71">
        <f>ROUND((Source!FX34/100)*((ROUND(Source!AF34*Source!I34, 2)+ROUND(Source!AE34*Source!I34, 2))), 2)</f>
        <v>8.2200000000000006</v>
      </c>
      <c r="T71">
        <f>Source!X34</f>
        <v>63.57</v>
      </c>
      <c r="U71">
        <f>ROUND((Source!FY34/100)*((ROUND(Source!AF34*Source!I34, 2)+ROUND(Source!AE34*Source!I34, 2))), 2)</f>
        <v>6.22</v>
      </c>
      <c r="V71">
        <f>Source!Y34</f>
        <v>48.06</v>
      </c>
    </row>
    <row r="72" spans="1:26" x14ac:dyDescent="0.2">
      <c r="C72" s="30" t="str">
        <f>"Объем: "&amp;Source!I34&amp;"=30/"&amp;"100"</f>
        <v>Объем: 0,3=30/100</v>
      </c>
    </row>
    <row r="73" spans="1:26" ht="14.25" x14ac:dyDescent="0.2">
      <c r="A73" s="22"/>
      <c r="B73" s="52"/>
      <c r="C73" s="52" t="s">
        <v>420</v>
      </c>
      <c r="D73" s="36"/>
      <c r="E73" s="9"/>
      <c r="F73" s="37">
        <f>Source!AO34</f>
        <v>33.43</v>
      </c>
      <c r="G73" s="38" t="str">
        <f>Source!DG34</f>
        <v/>
      </c>
      <c r="H73" s="37">
        <f>ROUND(Source!AF34*Source!I34, 2)</f>
        <v>10.029999999999999</v>
      </c>
      <c r="I73" s="38"/>
      <c r="J73" s="38">
        <f>IF(Source!BA34&lt;&gt; 0, Source!BA34, 1)</f>
        <v>7.73</v>
      </c>
      <c r="K73" s="37">
        <f>Source!S34</f>
        <v>77.52</v>
      </c>
      <c r="L73" s="39"/>
      <c r="R73">
        <f>H73</f>
        <v>10.029999999999999</v>
      </c>
    </row>
    <row r="74" spans="1:26" ht="14.25" x14ac:dyDescent="0.2">
      <c r="A74" s="22"/>
      <c r="B74" s="52"/>
      <c r="C74" s="52" t="s">
        <v>421</v>
      </c>
      <c r="D74" s="36" t="s">
        <v>422</v>
      </c>
      <c r="E74" s="9">
        <f>Source!BZ34</f>
        <v>82</v>
      </c>
      <c r="F74" s="55"/>
      <c r="G74" s="38"/>
      <c r="H74" s="37">
        <f>SUM(S71:S77)</f>
        <v>8.2200000000000006</v>
      </c>
      <c r="I74" s="40"/>
      <c r="J74" s="35">
        <f>Source!AT34</f>
        <v>82</v>
      </c>
      <c r="K74" s="37">
        <f>SUM(T71:T77)</f>
        <v>63.57</v>
      </c>
      <c r="L74" s="39"/>
    </row>
    <row r="75" spans="1:26" ht="14.25" x14ac:dyDescent="0.2">
      <c r="A75" s="22"/>
      <c r="B75" s="52"/>
      <c r="C75" s="52" t="s">
        <v>423</v>
      </c>
      <c r="D75" s="36" t="s">
        <v>422</v>
      </c>
      <c r="E75" s="9">
        <f>Source!CA34</f>
        <v>62</v>
      </c>
      <c r="F75" s="55"/>
      <c r="G75" s="38"/>
      <c r="H75" s="37">
        <f>SUM(U71:U77)</f>
        <v>6.22</v>
      </c>
      <c r="I75" s="40"/>
      <c r="J75" s="35">
        <f>Source!AU34</f>
        <v>62</v>
      </c>
      <c r="K75" s="37">
        <f>SUM(V71:V77)</f>
        <v>48.06</v>
      </c>
      <c r="L75" s="39"/>
    </row>
    <row r="76" spans="1:26" ht="14.25" x14ac:dyDescent="0.2">
      <c r="A76" s="22"/>
      <c r="B76" s="52"/>
      <c r="C76" s="52" t="s">
        <v>424</v>
      </c>
      <c r="D76" s="36" t="s">
        <v>425</v>
      </c>
      <c r="E76" s="9">
        <f>Source!AQ34</f>
        <v>4.21</v>
      </c>
      <c r="F76" s="37"/>
      <c r="G76" s="38" t="str">
        <f>Source!DI34</f>
        <v/>
      </c>
      <c r="H76" s="37"/>
      <c r="I76" s="38"/>
      <c r="J76" s="38"/>
      <c r="K76" s="37"/>
      <c r="L76" s="41">
        <f>Source!U34</f>
        <v>1.2629999999999999</v>
      </c>
    </row>
    <row r="77" spans="1:26" ht="14.25" x14ac:dyDescent="0.2">
      <c r="A77" s="53" t="str">
        <f>Source!E35</f>
        <v>4,1</v>
      </c>
      <c r="B77" s="54" t="str">
        <f>Source!F35</f>
        <v>999-9900</v>
      </c>
      <c r="C77" s="54" t="str">
        <f>Source!G35</f>
        <v>Строительный мусор</v>
      </c>
      <c r="D77" s="42" t="str">
        <f>Source!H35</f>
        <v>т</v>
      </c>
      <c r="E77" s="43">
        <f>Source!I35</f>
        <v>0.12</v>
      </c>
      <c r="F77" s="44">
        <f>Source!AL35+Source!AM35+Source!AO35</f>
        <v>0</v>
      </c>
      <c r="G77" s="45" t="s">
        <v>3</v>
      </c>
      <c r="H77" s="44">
        <f>ROUND(Source!AC35*Source!I35, 2)+ROUND(Source!AD35*Source!I35, 2)+ROUND(Source!AF35*Source!I35, 2)</f>
        <v>0</v>
      </c>
      <c r="I77" s="46"/>
      <c r="J77" s="46">
        <f>IF(Source!BC35&lt;&gt; 0, Source!BC35, 1)</f>
        <v>7.73</v>
      </c>
      <c r="K77" s="44">
        <f>Source!O35</f>
        <v>0</v>
      </c>
      <c r="L77" s="47"/>
      <c r="S77">
        <f>ROUND((Source!FX35/100)*((ROUND(Source!AF35*Source!I35, 2)+ROUND(Source!AE35*Source!I35, 2))), 2)</f>
        <v>0</v>
      </c>
      <c r="T77">
        <f>Source!X35</f>
        <v>0</v>
      </c>
      <c r="U77">
        <f>ROUND((Source!FY35/100)*((ROUND(Source!AF35*Source!I35, 2)+ROUND(Source!AE35*Source!I35, 2))), 2)</f>
        <v>0</v>
      </c>
      <c r="V77">
        <f>Source!Y35</f>
        <v>0</v>
      </c>
      <c r="W77">
        <f>IF(Source!BI35&lt;=1,H77, 0)</f>
        <v>0</v>
      </c>
      <c r="X77">
        <f>IF(Source!BI35=2,H77, 0)</f>
        <v>0</v>
      </c>
      <c r="Y77">
        <f>IF(Source!BI35=3,H77, 0)</f>
        <v>0</v>
      </c>
      <c r="Z77">
        <f>IF(Source!BI35=4,H77, 0)</f>
        <v>0</v>
      </c>
    </row>
    <row r="78" spans="1:26" ht="15" x14ac:dyDescent="0.25">
      <c r="G78" s="62">
        <f>H73+H74+H75+SUM(H77:H77)</f>
        <v>24.47</v>
      </c>
      <c r="H78" s="62"/>
      <c r="J78" s="62">
        <f>K73+K74+K75+SUM(K77:K77)</f>
        <v>189.15</v>
      </c>
      <c r="K78" s="62"/>
      <c r="L78" s="48">
        <f>Source!U34</f>
        <v>1.2629999999999999</v>
      </c>
      <c r="O78" s="31">
        <f>G78</f>
        <v>24.47</v>
      </c>
      <c r="P78" s="31">
        <f>J78</f>
        <v>189.15</v>
      </c>
      <c r="Q78" s="31">
        <f>L78</f>
        <v>1.2629999999999999</v>
      </c>
      <c r="W78">
        <f>IF(Source!BI34&lt;=1,H73+H74+H75, 0)</f>
        <v>24.47</v>
      </c>
      <c r="X78">
        <f>IF(Source!BI34=2,H73+H74+H75, 0)</f>
        <v>0</v>
      </c>
      <c r="Y78">
        <f>IF(Source!BI34=3,H73+H74+H75, 0)</f>
        <v>0</v>
      </c>
      <c r="Z78">
        <f>IF(Source!BI34=4,H73+H74+H75, 0)</f>
        <v>0</v>
      </c>
    </row>
    <row r="79" spans="1:26" ht="99.75" x14ac:dyDescent="0.2">
      <c r="A79" s="22" t="str">
        <f>Source!E36</f>
        <v>5</v>
      </c>
      <c r="B79" s="52" t="str">
        <f>Source!F36</f>
        <v>56-10-1</v>
      </c>
      <c r="C79" s="52" t="str">
        <f>Source!G36</f>
        <v>Снятие дверных полотен</v>
      </c>
      <c r="D79" s="36" t="str">
        <f>Source!H36</f>
        <v>100 м2</v>
      </c>
      <c r="E79" s="9">
        <f>Source!I36</f>
        <v>0.21299999999999999</v>
      </c>
      <c r="F79" s="37">
        <f>Source!AL36+Source!AM36+Source!AO36</f>
        <v>288.06</v>
      </c>
      <c r="G79" s="38"/>
      <c r="H79" s="37"/>
      <c r="I79" s="38" t="str">
        <f>Source!BO36</f>
        <v>4й квартал 2020 года (Письмо Минстроя РФ № 44016-ИФ/09 от 02.11.2020 г., Административные здания)</v>
      </c>
      <c r="J79" s="38"/>
      <c r="K79" s="37"/>
      <c r="L79" s="39"/>
      <c r="S79">
        <f>ROUND((Source!FX36/100)*((ROUND(Source!AF36*Source!I36, 2)+ROUND(Source!AE36*Source!I36, 2))), 2)</f>
        <v>50.32</v>
      </c>
      <c r="T79">
        <f>Source!X36</f>
        <v>388.92</v>
      </c>
      <c r="U79">
        <f>ROUND((Source!FY36/100)*((ROUND(Source!AF36*Source!I36, 2)+ROUND(Source!AE36*Source!I36, 2))), 2)</f>
        <v>38.04</v>
      </c>
      <c r="V79">
        <f>Source!Y36</f>
        <v>294.06</v>
      </c>
    </row>
    <row r="80" spans="1:26" x14ac:dyDescent="0.2">
      <c r="C80" s="30" t="str">
        <f>"Объем: "&amp;Source!I36&amp;"=(4+"&amp;"17,3)/"&amp;"100"</f>
        <v>Объем: 0,213=(4+17,3)/100</v>
      </c>
    </row>
    <row r="81" spans="1:26" ht="14.25" x14ac:dyDescent="0.2">
      <c r="A81" s="22"/>
      <c r="B81" s="52"/>
      <c r="C81" s="52" t="s">
        <v>420</v>
      </c>
      <c r="D81" s="36"/>
      <c r="E81" s="9"/>
      <c r="F81" s="37">
        <f>Source!AO36</f>
        <v>288.06</v>
      </c>
      <c r="G81" s="38" t="str">
        <f>Source!DG36</f>
        <v/>
      </c>
      <c r="H81" s="37">
        <f>ROUND(Source!AF36*Source!I36, 2)</f>
        <v>61.36</v>
      </c>
      <c r="I81" s="38"/>
      <c r="J81" s="38">
        <f>IF(Source!BA36&lt;&gt; 0, Source!BA36, 1)</f>
        <v>7.73</v>
      </c>
      <c r="K81" s="37">
        <f>Source!S36</f>
        <v>474.29</v>
      </c>
      <c r="L81" s="39"/>
      <c r="R81">
        <f>H81</f>
        <v>61.36</v>
      </c>
    </row>
    <row r="82" spans="1:26" ht="14.25" x14ac:dyDescent="0.2">
      <c r="A82" s="22"/>
      <c r="B82" s="52"/>
      <c r="C82" s="52" t="s">
        <v>421</v>
      </c>
      <c r="D82" s="36" t="s">
        <v>422</v>
      </c>
      <c r="E82" s="9">
        <f>Source!BZ36</f>
        <v>82</v>
      </c>
      <c r="F82" s="55"/>
      <c r="G82" s="38"/>
      <c r="H82" s="37">
        <f>SUM(S79:S85)</f>
        <v>50.32</v>
      </c>
      <c r="I82" s="40"/>
      <c r="J82" s="35">
        <f>Source!AT36</f>
        <v>82</v>
      </c>
      <c r="K82" s="37">
        <f>SUM(T79:T85)</f>
        <v>388.92</v>
      </c>
      <c r="L82" s="39"/>
    </row>
    <row r="83" spans="1:26" ht="14.25" x14ac:dyDescent="0.2">
      <c r="A83" s="22"/>
      <c r="B83" s="52"/>
      <c r="C83" s="52" t="s">
        <v>423</v>
      </c>
      <c r="D83" s="36" t="s">
        <v>422</v>
      </c>
      <c r="E83" s="9">
        <f>Source!CA36</f>
        <v>62</v>
      </c>
      <c r="F83" s="55"/>
      <c r="G83" s="38"/>
      <c r="H83" s="37">
        <f>SUM(U79:U85)</f>
        <v>38.04</v>
      </c>
      <c r="I83" s="40"/>
      <c r="J83" s="35">
        <f>Source!AU36</f>
        <v>62</v>
      </c>
      <c r="K83" s="37">
        <f>SUM(V79:V85)</f>
        <v>294.06</v>
      </c>
      <c r="L83" s="39"/>
    </row>
    <row r="84" spans="1:26" ht="14.25" x14ac:dyDescent="0.2">
      <c r="A84" s="22"/>
      <c r="B84" s="52"/>
      <c r="C84" s="52" t="s">
        <v>424</v>
      </c>
      <c r="D84" s="36" t="s">
        <v>425</v>
      </c>
      <c r="E84" s="9">
        <f>Source!AQ36</f>
        <v>36.28</v>
      </c>
      <c r="F84" s="37"/>
      <c r="G84" s="38" t="str">
        <f>Source!DI36</f>
        <v/>
      </c>
      <c r="H84" s="37"/>
      <c r="I84" s="38"/>
      <c r="J84" s="38"/>
      <c r="K84" s="37"/>
      <c r="L84" s="41">
        <f>Source!U36</f>
        <v>7.7276400000000001</v>
      </c>
    </row>
    <row r="85" spans="1:26" ht="14.25" x14ac:dyDescent="0.2">
      <c r="A85" s="53" t="str">
        <f>Source!E37</f>
        <v>5,1</v>
      </c>
      <c r="B85" s="54" t="str">
        <f>Source!F37</f>
        <v>999-9900</v>
      </c>
      <c r="C85" s="54" t="str">
        <f>Source!G37</f>
        <v>Строительный мусор</v>
      </c>
      <c r="D85" s="42" t="str">
        <f>Source!H37</f>
        <v>т</v>
      </c>
      <c r="E85" s="43">
        <f>Source!I37</f>
        <v>0.25134000000000001</v>
      </c>
      <c r="F85" s="44">
        <f>Source!AL37+Source!AM37+Source!AO37</f>
        <v>0</v>
      </c>
      <c r="G85" s="45" t="s">
        <v>3</v>
      </c>
      <c r="H85" s="44">
        <f>ROUND(Source!AC37*Source!I37, 2)+ROUND(Source!AD37*Source!I37, 2)+ROUND(Source!AF37*Source!I37, 2)</f>
        <v>0</v>
      </c>
      <c r="I85" s="46"/>
      <c r="J85" s="46">
        <f>IF(Source!BC37&lt;&gt; 0, Source!BC37, 1)</f>
        <v>7.73</v>
      </c>
      <c r="K85" s="44">
        <f>Source!O37</f>
        <v>0</v>
      </c>
      <c r="L85" s="47"/>
      <c r="S85">
        <f>ROUND((Source!FX37/100)*((ROUND(Source!AF37*Source!I37, 2)+ROUND(Source!AE37*Source!I37, 2))), 2)</f>
        <v>0</v>
      </c>
      <c r="T85">
        <f>Source!X37</f>
        <v>0</v>
      </c>
      <c r="U85">
        <f>ROUND((Source!FY37/100)*((ROUND(Source!AF37*Source!I37, 2)+ROUND(Source!AE37*Source!I37, 2))), 2)</f>
        <v>0</v>
      </c>
      <c r="V85">
        <f>Source!Y37</f>
        <v>0</v>
      </c>
      <c r="W85">
        <f>IF(Source!BI37&lt;=1,H85, 0)</f>
        <v>0</v>
      </c>
      <c r="X85">
        <f>IF(Source!BI37=2,H85, 0)</f>
        <v>0</v>
      </c>
      <c r="Y85">
        <f>IF(Source!BI37=3,H85, 0)</f>
        <v>0</v>
      </c>
      <c r="Z85">
        <f>IF(Source!BI37=4,H85, 0)</f>
        <v>0</v>
      </c>
    </row>
    <row r="86" spans="1:26" ht="15" x14ac:dyDescent="0.25">
      <c r="G86" s="62">
        <f>H81+H82+H83+SUM(H85:H85)</f>
        <v>149.72</v>
      </c>
      <c r="H86" s="62"/>
      <c r="J86" s="62">
        <f>K81+K82+K83+SUM(K85:K85)</f>
        <v>1157.27</v>
      </c>
      <c r="K86" s="62"/>
      <c r="L86" s="48">
        <f>Source!U36</f>
        <v>7.7276400000000001</v>
      </c>
      <c r="O86" s="31">
        <f>G86</f>
        <v>149.72</v>
      </c>
      <c r="P86" s="31">
        <f>J86</f>
        <v>1157.27</v>
      </c>
      <c r="Q86" s="31">
        <f>L86</f>
        <v>7.7276400000000001</v>
      </c>
      <c r="W86">
        <f>IF(Source!BI36&lt;=1,H81+H82+H83, 0)</f>
        <v>149.72</v>
      </c>
      <c r="X86">
        <f>IF(Source!BI36=2,H81+H82+H83, 0)</f>
        <v>0</v>
      </c>
      <c r="Y86">
        <f>IF(Source!BI36=3,H81+H82+H83, 0)</f>
        <v>0</v>
      </c>
      <c r="Z86">
        <f>IF(Source!BI36=4,H81+H82+H83, 0)</f>
        <v>0</v>
      </c>
    </row>
    <row r="87" spans="1:26" ht="99.75" x14ac:dyDescent="0.2">
      <c r="A87" s="22" t="str">
        <f>Source!E38</f>
        <v>6</v>
      </c>
      <c r="B87" s="52" t="str">
        <f>Source!F38</f>
        <v>56-9-1</v>
      </c>
      <c r="C87" s="52" t="str">
        <f>Source!G38</f>
        <v>Демонтаж дверных коробок: в каменных стенах с отбивкой штукатурки в откосах</v>
      </c>
      <c r="D87" s="36" t="str">
        <f>Source!H38</f>
        <v>100 ШТ</v>
      </c>
      <c r="E87" s="9">
        <f>Source!I38</f>
        <v>0.03</v>
      </c>
      <c r="F87" s="37">
        <f>Source!AL38+Source!AM38+Source!AO38</f>
        <v>1643.9</v>
      </c>
      <c r="G87" s="38"/>
      <c r="H87" s="37"/>
      <c r="I87" s="38" t="str">
        <f>Source!BO38</f>
        <v>4й квартал 2020 года (Письмо Минстроя РФ № 44016-ИФ/09 от 02.11.2020 г., Административные здания)</v>
      </c>
      <c r="J87" s="38"/>
      <c r="K87" s="37"/>
      <c r="L87" s="39"/>
      <c r="S87">
        <f>ROUND((Source!FX38/100)*((ROUND(Source!AF38*Source!I38, 2)+ROUND(Source!AE38*Source!I38, 2))), 2)</f>
        <v>35.369999999999997</v>
      </c>
      <c r="T87">
        <f>Source!X38</f>
        <v>273.45</v>
      </c>
      <c r="U87">
        <f>ROUND((Source!FY38/100)*((ROUND(Source!AF38*Source!I38, 2)+ROUND(Source!AE38*Source!I38, 2))), 2)</f>
        <v>26.75</v>
      </c>
      <c r="V87">
        <f>Source!Y38</f>
        <v>206.75</v>
      </c>
    </row>
    <row r="88" spans="1:26" x14ac:dyDescent="0.2">
      <c r="C88" s="30" t="str">
        <f>"Объем: "&amp;Source!I38&amp;"=(1+"&amp;"2)/"&amp;"100"</f>
        <v>Объем: 0,03=(1+2)/100</v>
      </c>
    </row>
    <row r="89" spans="1:26" ht="14.25" x14ac:dyDescent="0.2">
      <c r="A89" s="22"/>
      <c r="B89" s="52"/>
      <c r="C89" s="52" t="s">
        <v>420</v>
      </c>
      <c r="D89" s="36"/>
      <c r="E89" s="9"/>
      <c r="F89" s="37">
        <f>Source!AO38</f>
        <v>1437.99</v>
      </c>
      <c r="G89" s="38" t="str">
        <f>Source!DG38</f>
        <v/>
      </c>
      <c r="H89" s="37">
        <f>ROUND(Source!AF38*Source!I38, 2)</f>
        <v>43.14</v>
      </c>
      <c r="I89" s="38"/>
      <c r="J89" s="38">
        <f>IF(Source!BA38&lt;&gt; 0, Source!BA38, 1)</f>
        <v>7.73</v>
      </c>
      <c r="K89" s="37">
        <f>Source!S38</f>
        <v>333.47</v>
      </c>
      <c r="L89" s="39"/>
      <c r="R89">
        <f>H89</f>
        <v>43.14</v>
      </c>
    </row>
    <row r="90" spans="1:26" ht="14.25" x14ac:dyDescent="0.2">
      <c r="A90" s="22"/>
      <c r="B90" s="52"/>
      <c r="C90" s="52" t="s">
        <v>76</v>
      </c>
      <c r="D90" s="36"/>
      <c r="E90" s="9"/>
      <c r="F90" s="37">
        <f>Source!AM38</f>
        <v>205.91</v>
      </c>
      <c r="G90" s="38" t="str">
        <f>Source!DE38</f>
        <v/>
      </c>
      <c r="H90" s="37">
        <f>ROUND(Source!AD38*Source!I38, 2)</f>
        <v>6.18</v>
      </c>
      <c r="I90" s="38"/>
      <c r="J90" s="38">
        <f>IF(Source!BB38&lt;&gt; 0, Source!BB38, 1)</f>
        <v>7.73</v>
      </c>
      <c r="K90" s="37">
        <f>Source!Q38</f>
        <v>47.75</v>
      </c>
      <c r="L90" s="39"/>
    </row>
    <row r="91" spans="1:26" ht="14.25" x14ac:dyDescent="0.2">
      <c r="A91" s="22"/>
      <c r="B91" s="52"/>
      <c r="C91" s="52" t="s">
        <v>421</v>
      </c>
      <c r="D91" s="36" t="s">
        <v>422</v>
      </c>
      <c r="E91" s="9">
        <f>Source!BZ38</f>
        <v>82</v>
      </c>
      <c r="F91" s="55"/>
      <c r="G91" s="38"/>
      <c r="H91" s="37">
        <f>SUM(S87:S94)</f>
        <v>35.369999999999997</v>
      </c>
      <c r="I91" s="40"/>
      <c r="J91" s="35">
        <f>Source!AT38</f>
        <v>82</v>
      </c>
      <c r="K91" s="37">
        <f>SUM(T87:T94)</f>
        <v>273.45</v>
      </c>
      <c r="L91" s="39"/>
    </row>
    <row r="92" spans="1:26" ht="14.25" x14ac:dyDescent="0.2">
      <c r="A92" s="22"/>
      <c r="B92" s="52"/>
      <c r="C92" s="52" t="s">
        <v>423</v>
      </c>
      <c r="D92" s="36" t="s">
        <v>422</v>
      </c>
      <c r="E92" s="9">
        <f>Source!CA38</f>
        <v>62</v>
      </c>
      <c r="F92" s="55"/>
      <c r="G92" s="38"/>
      <c r="H92" s="37">
        <f>SUM(U87:U94)</f>
        <v>26.75</v>
      </c>
      <c r="I92" s="40"/>
      <c r="J92" s="35">
        <f>Source!AU38</f>
        <v>62</v>
      </c>
      <c r="K92" s="37">
        <f>SUM(V87:V94)</f>
        <v>206.75</v>
      </c>
      <c r="L92" s="39"/>
    </row>
    <row r="93" spans="1:26" ht="14.25" x14ac:dyDescent="0.2">
      <c r="A93" s="22"/>
      <c r="B93" s="52"/>
      <c r="C93" s="52" t="s">
        <v>424</v>
      </c>
      <c r="D93" s="36" t="s">
        <v>425</v>
      </c>
      <c r="E93" s="9">
        <f>Source!AQ38</f>
        <v>179.3</v>
      </c>
      <c r="F93" s="37"/>
      <c r="G93" s="38" t="str">
        <f>Source!DI38</f>
        <v/>
      </c>
      <c r="H93" s="37"/>
      <c r="I93" s="38"/>
      <c r="J93" s="38"/>
      <c r="K93" s="37"/>
      <c r="L93" s="41">
        <f>Source!U38</f>
        <v>5.3790000000000004</v>
      </c>
    </row>
    <row r="94" spans="1:26" ht="14.25" x14ac:dyDescent="0.2">
      <c r="A94" s="53" t="str">
        <f>Source!E39</f>
        <v>6,1</v>
      </c>
      <c r="B94" s="54" t="str">
        <f>Source!F39</f>
        <v>999-9900</v>
      </c>
      <c r="C94" s="54" t="str">
        <f>Source!G39</f>
        <v>Строительный мусор</v>
      </c>
      <c r="D94" s="42" t="str">
        <f>Source!H39</f>
        <v>т</v>
      </c>
      <c r="E94" s="43">
        <f>Source!I39</f>
        <v>0.315</v>
      </c>
      <c r="F94" s="44">
        <f>Source!AL39+Source!AM39+Source!AO39</f>
        <v>0</v>
      </c>
      <c r="G94" s="45" t="s">
        <v>3</v>
      </c>
      <c r="H94" s="44">
        <f>ROUND(Source!AC39*Source!I39, 2)+ROUND(Source!AD39*Source!I39, 2)+ROUND(Source!AF39*Source!I39, 2)</f>
        <v>0</v>
      </c>
      <c r="I94" s="46"/>
      <c r="J94" s="46">
        <f>IF(Source!BC39&lt;&gt; 0, Source!BC39, 1)</f>
        <v>7.73</v>
      </c>
      <c r="K94" s="44">
        <f>Source!O39</f>
        <v>0</v>
      </c>
      <c r="L94" s="47"/>
      <c r="S94">
        <f>ROUND((Source!FX39/100)*((ROUND(Source!AF39*Source!I39, 2)+ROUND(Source!AE39*Source!I39, 2))), 2)</f>
        <v>0</v>
      </c>
      <c r="T94">
        <f>Source!X39</f>
        <v>0</v>
      </c>
      <c r="U94">
        <f>ROUND((Source!FY39/100)*((ROUND(Source!AF39*Source!I39, 2)+ROUND(Source!AE39*Source!I39, 2))), 2)</f>
        <v>0</v>
      </c>
      <c r="V94">
        <f>Source!Y39</f>
        <v>0</v>
      </c>
      <c r="W94">
        <f>IF(Source!BI39&lt;=1,H94, 0)</f>
        <v>0</v>
      </c>
      <c r="X94">
        <f>IF(Source!BI39=2,H94, 0)</f>
        <v>0</v>
      </c>
      <c r="Y94">
        <f>IF(Source!BI39=3,H94, 0)</f>
        <v>0</v>
      </c>
      <c r="Z94">
        <f>IF(Source!BI39=4,H94, 0)</f>
        <v>0</v>
      </c>
    </row>
    <row r="95" spans="1:26" ht="15" x14ac:dyDescent="0.25">
      <c r="G95" s="62">
        <f>H89+H90+H91+H92+SUM(H94:H94)</f>
        <v>111.44</v>
      </c>
      <c r="H95" s="62"/>
      <c r="J95" s="62">
        <f>K89+K90+K91+K92+SUM(K94:K94)</f>
        <v>861.42000000000007</v>
      </c>
      <c r="K95" s="62"/>
      <c r="L95" s="48">
        <f>Source!U38</f>
        <v>5.3790000000000004</v>
      </c>
      <c r="O95" s="31">
        <f>G95</f>
        <v>111.44</v>
      </c>
      <c r="P95" s="31">
        <f>J95</f>
        <v>861.42000000000007</v>
      </c>
      <c r="Q95" s="31">
        <f>L95</f>
        <v>5.3790000000000004</v>
      </c>
      <c r="W95">
        <f>IF(Source!BI38&lt;=1,H89+H90+H91+H92, 0)</f>
        <v>111.44</v>
      </c>
      <c r="X95">
        <f>IF(Source!BI38=2,H89+H90+H91+H92, 0)</f>
        <v>0</v>
      </c>
      <c r="Y95">
        <f>IF(Source!BI38=3,H89+H90+H91+H92, 0)</f>
        <v>0</v>
      </c>
      <c r="Z95">
        <f>IF(Source!BI38=4,H89+H90+H91+H92, 0)</f>
        <v>0</v>
      </c>
    </row>
    <row r="97" spans="1:22" ht="15" x14ac:dyDescent="0.25">
      <c r="A97" s="67" t="str">
        <f>CONCATENATE("Итого по разделу: ",IF(Source!G41&lt;&gt;"Новый раздел", Source!G41, ""))</f>
        <v>Итого по разделу: Демонтажные работы</v>
      </c>
      <c r="B97" s="67"/>
      <c r="C97" s="67"/>
      <c r="D97" s="67"/>
      <c r="E97" s="67"/>
      <c r="F97" s="67"/>
      <c r="G97" s="66">
        <f>SUM(O42:O96)</f>
        <v>1286.1300000000001</v>
      </c>
      <c r="H97" s="66"/>
      <c r="I97" s="34"/>
      <c r="J97" s="66">
        <f>SUM(P42:P96)</f>
        <v>9941.7099999999991</v>
      </c>
      <c r="K97" s="66"/>
      <c r="L97" s="48">
        <f>SUM(Q42:Q96)</f>
        <v>62.877719999999997</v>
      </c>
    </row>
    <row r="100" spans="1:22" ht="14.25" x14ac:dyDescent="0.2">
      <c r="C100" s="63" t="str">
        <f>Source!H43</f>
        <v>Прямые затраты</v>
      </c>
      <c r="D100" s="63"/>
      <c r="E100" s="63"/>
      <c r="F100" s="63"/>
      <c r="G100" s="63"/>
      <c r="H100" s="63"/>
      <c r="I100" s="63"/>
      <c r="J100" s="64">
        <f>IF(Source!F43=0, "", Source!F43)</f>
        <v>4203.72</v>
      </c>
      <c r="K100" s="64"/>
    </row>
    <row r="101" spans="1:22" ht="14.25" x14ac:dyDescent="0.2">
      <c r="C101" s="63" t="str">
        <f>Source!H53</f>
        <v>Эксплуатация машин</v>
      </c>
      <c r="D101" s="63"/>
      <c r="E101" s="63"/>
      <c r="F101" s="63"/>
      <c r="G101" s="63"/>
      <c r="H101" s="63"/>
      <c r="I101" s="63"/>
      <c r="J101" s="64">
        <f>IF(Source!F53=0, "", Source!F53)</f>
        <v>291.81</v>
      </c>
      <c r="K101" s="64"/>
    </row>
    <row r="102" spans="1:22" ht="14.25" x14ac:dyDescent="0.2">
      <c r="C102" s="63" t="str">
        <f>Source!H55</f>
        <v>ЗП машинистов</v>
      </c>
      <c r="D102" s="63"/>
      <c r="E102" s="63"/>
      <c r="F102" s="63"/>
      <c r="G102" s="63"/>
      <c r="H102" s="63"/>
      <c r="I102" s="63"/>
      <c r="J102" s="64">
        <f>IF(Source!F55=0, "", Source!F55)</f>
        <v>72.8</v>
      </c>
      <c r="K102" s="64"/>
    </row>
    <row r="103" spans="1:22" ht="14.25" x14ac:dyDescent="0.2">
      <c r="C103" s="63" t="str">
        <f>Source!H56</f>
        <v>Основная ЗП рабочих</v>
      </c>
      <c r="D103" s="63"/>
      <c r="E103" s="63"/>
      <c r="F103" s="63"/>
      <c r="G103" s="63"/>
      <c r="H103" s="63"/>
      <c r="I103" s="63"/>
      <c r="J103" s="64">
        <f>IF(Source!F56=0, "", Source!F56)</f>
        <v>3911.91</v>
      </c>
      <c r="K103" s="64"/>
    </row>
    <row r="104" spans="1:22" ht="14.25" x14ac:dyDescent="0.2">
      <c r="C104" s="63" t="str">
        <f>Source!H58</f>
        <v>Строительные работы с НР и СП</v>
      </c>
      <c r="D104" s="63"/>
      <c r="E104" s="63"/>
      <c r="F104" s="63"/>
      <c r="G104" s="63"/>
      <c r="H104" s="63"/>
      <c r="I104" s="63"/>
      <c r="J104" s="64">
        <f>IF(Source!F58=0, "", Source!F58)</f>
        <v>9941.7099999999991</v>
      </c>
      <c r="K104" s="64"/>
    </row>
    <row r="105" spans="1:22" ht="14.25" x14ac:dyDescent="0.2">
      <c r="C105" s="63" t="str">
        <f>Source!H63</f>
        <v>Трудозатраты строителей</v>
      </c>
      <c r="D105" s="63"/>
      <c r="E105" s="63"/>
      <c r="F105" s="63"/>
      <c r="G105" s="63"/>
      <c r="H105" s="63"/>
      <c r="I105" s="63"/>
      <c r="J105" s="64">
        <f>IF(Source!F63=0, "", Source!F63)</f>
        <v>62.88</v>
      </c>
      <c r="K105" s="64"/>
    </row>
    <row r="106" spans="1:22" ht="14.25" x14ac:dyDescent="0.2">
      <c r="C106" s="63" t="str">
        <f>Source!H64</f>
        <v>Трудозатраты машинистов</v>
      </c>
      <c r="D106" s="63"/>
      <c r="E106" s="63"/>
      <c r="F106" s="63"/>
      <c r="G106" s="63"/>
      <c r="H106" s="63"/>
      <c r="I106" s="63"/>
      <c r="J106" s="64">
        <f>IF(Source!F64=0, "", Source!F64)</f>
        <v>0.7</v>
      </c>
      <c r="K106" s="64"/>
    </row>
    <row r="107" spans="1:22" ht="14.25" x14ac:dyDescent="0.2">
      <c r="C107" s="63" t="str">
        <f>Source!H67</f>
        <v>Накладные расходы</v>
      </c>
      <c r="D107" s="63"/>
      <c r="E107" s="63"/>
      <c r="F107" s="63"/>
      <c r="G107" s="63"/>
      <c r="H107" s="63"/>
      <c r="I107" s="63"/>
      <c r="J107" s="64">
        <f>IF(Source!F67=0, "", Source!F67)</f>
        <v>3267.47</v>
      </c>
      <c r="K107" s="64"/>
    </row>
    <row r="108" spans="1:22" ht="14.25" x14ac:dyDescent="0.2">
      <c r="C108" s="63" t="str">
        <f>Source!H68</f>
        <v>Сметная прибыль</v>
      </c>
      <c r="D108" s="63"/>
      <c r="E108" s="63"/>
      <c r="F108" s="63"/>
      <c r="G108" s="63"/>
      <c r="H108" s="63"/>
      <c r="I108" s="63"/>
      <c r="J108" s="64">
        <f>IF(Source!F68=0, "", Source!F68)</f>
        <v>2470.52</v>
      </c>
      <c r="K108" s="64"/>
    </row>
    <row r="109" spans="1:22" ht="14.25" x14ac:dyDescent="0.2">
      <c r="C109" s="63" t="str">
        <f>Source!H69</f>
        <v>Всего с НР и СП</v>
      </c>
      <c r="D109" s="63"/>
      <c r="E109" s="63"/>
      <c r="F109" s="63"/>
      <c r="G109" s="63"/>
      <c r="H109" s="63"/>
      <c r="I109" s="63"/>
      <c r="J109" s="64">
        <f>IF(Source!F69=0, "", Source!F69)</f>
        <v>9941.7099999999991</v>
      </c>
      <c r="K109" s="64"/>
    </row>
    <row r="111" spans="1:22" ht="16.5" x14ac:dyDescent="0.25">
      <c r="A111" s="65" t="str">
        <f>CONCATENATE("Раздел: ",IF(Source!G71&lt;&gt;"Новый раздел", Source!G71, ""))</f>
        <v>Раздел: Ремонтно-строительные работы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</row>
    <row r="112" spans="1:22" ht="99.75" x14ac:dyDescent="0.2">
      <c r="A112" s="22" t="str">
        <f>Source!E75</f>
        <v>7</v>
      </c>
      <c r="B112" s="52" t="str">
        <f>Source!F75</f>
        <v>58-20-1</v>
      </c>
      <c r="C112" s="52" t="str">
        <f>Source!G75</f>
        <v>Смена обделок из листовой стали (поясков, сандриков, отливов, карнизов) шириной: до 0,4 м</v>
      </c>
      <c r="D112" s="36" t="str">
        <f>Source!H75</f>
        <v>100 м</v>
      </c>
      <c r="E112" s="9">
        <f>Source!I75</f>
        <v>2.5000000000000001E-2</v>
      </c>
      <c r="F112" s="37">
        <f>Source!AL75+Source!AM75+Source!AO75</f>
        <v>454.41</v>
      </c>
      <c r="G112" s="38"/>
      <c r="H112" s="37"/>
      <c r="I112" s="38" t="str">
        <f>Source!BO75</f>
        <v>4й квартал 2020 года (Письмо Минстроя РФ № 44016-ИФ/09 от 02.11.2020 г., Административные здания)</v>
      </c>
      <c r="J112" s="38"/>
      <c r="K112" s="37"/>
      <c r="L112" s="39"/>
      <c r="S112">
        <f>ROUND((Source!FX75/100)*((ROUND(Source!AF75*Source!I75, 2)+ROUND(Source!AE75*Source!I75, 2))), 2)</f>
        <v>7.36</v>
      </c>
      <c r="T112">
        <f>Source!X75</f>
        <v>56.9</v>
      </c>
      <c r="U112">
        <f>ROUND((Source!FY75/100)*((ROUND(Source!AF75*Source!I75, 2)+ROUND(Source!AE75*Source!I75, 2))), 2)</f>
        <v>5.77</v>
      </c>
      <c r="V112">
        <f>Source!Y75</f>
        <v>44.56</v>
      </c>
    </row>
    <row r="113" spans="1:26" x14ac:dyDescent="0.2">
      <c r="C113" s="30" t="str">
        <f>"Объем: "&amp;Source!I75&amp;"=2,5/"&amp;"100"</f>
        <v>Объем: 0,025=2,5/100</v>
      </c>
    </row>
    <row r="114" spans="1:26" ht="14.25" x14ac:dyDescent="0.2">
      <c r="A114" s="22"/>
      <c r="B114" s="52"/>
      <c r="C114" s="52" t="s">
        <v>420</v>
      </c>
      <c r="D114" s="36"/>
      <c r="E114" s="9"/>
      <c r="F114" s="37">
        <f>Source!AO75</f>
        <v>353.23</v>
      </c>
      <c r="G114" s="38" t="str">
        <f>Source!DG75</f>
        <v/>
      </c>
      <c r="H114" s="37">
        <f>ROUND(Source!AF75*Source!I75, 2)</f>
        <v>8.83</v>
      </c>
      <c r="I114" s="38"/>
      <c r="J114" s="38">
        <f>IF(Source!BA75&lt;&gt; 0, Source!BA75, 1)</f>
        <v>7.73</v>
      </c>
      <c r="K114" s="37">
        <f>Source!S75</f>
        <v>68.260000000000005</v>
      </c>
      <c r="L114" s="39"/>
      <c r="R114">
        <f>H114</f>
        <v>8.83</v>
      </c>
    </row>
    <row r="115" spans="1:26" ht="14.25" x14ac:dyDescent="0.2">
      <c r="A115" s="22"/>
      <c r="B115" s="52"/>
      <c r="C115" s="52" t="s">
        <v>76</v>
      </c>
      <c r="D115" s="36"/>
      <c r="E115" s="9"/>
      <c r="F115" s="37">
        <f>Source!AM75</f>
        <v>5.13</v>
      </c>
      <c r="G115" s="38" t="str">
        <f>Source!DE75</f>
        <v/>
      </c>
      <c r="H115" s="37">
        <f>ROUND(Source!AD75*Source!I75, 2)</f>
        <v>0.13</v>
      </c>
      <c r="I115" s="38"/>
      <c r="J115" s="38">
        <f>IF(Source!BB75&lt;&gt; 0, Source!BB75, 1)</f>
        <v>7.73</v>
      </c>
      <c r="K115" s="37">
        <f>Source!Q75</f>
        <v>0.99</v>
      </c>
      <c r="L115" s="39"/>
    </row>
    <row r="116" spans="1:26" ht="14.25" x14ac:dyDescent="0.2">
      <c r="A116" s="22"/>
      <c r="B116" s="52"/>
      <c r="C116" s="52" t="s">
        <v>426</v>
      </c>
      <c r="D116" s="36"/>
      <c r="E116" s="9"/>
      <c r="F116" s="37">
        <f>Source!AN75</f>
        <v>1.54</v>
      </c>
      <c r="G116" s="38" t="str">
        <f>Source!DF75</f>
        <v/>
      </c>
      <c r="H116" s="49">
        <f>ROUND(Source!AE75*Source!I75, 2)</f>
        <v>0.04</v>
      </c>
      <c r="I116" s="38"/>
      <c r="J116" s="38">
        <f>IF(Source!BS75&lt;&gt; 0, Source!BS75, 1)</f>
        <v>7.73</v>
      </c>
      <c r="K116" s="49">
        <f>Source!R75</f>
        <v>0.3</v>
      </c>
      <c r="L116" s="39"/>
      <c r="R116">
        <f>H116</f>
        <v>0.04</v>
      </c>
    </row>
    <row r="117" spans="1:26" ht="14.25" x14ac:dyDescent="0.2">
      <c r="A117" s="22"/>
      <c r="B117" s="52"/>
      <c r="C117" s="52" t="s">
        <v>427</v>
      </c>
      <c r="D117" s="36"/>
      <c r="E117" s="9"/>
      <c r="F117" s="37">
        <f>Source!AL75</f>
        <v>96.05</v>
      </c>
      <c r="G117" s="38" t="str">
        <f>Source!DD75</f>
        <v/>
      </c>
      <c r="H117" s="37">
        <f>ROUND(Source!AC75*Source!I75, 2)</f>
        <v>2.4</v>
      </c>
      <c r="I117" s="38"/>
      <c r="J117" s="38">
        <f>IF(Source!BC75&lt;&gt; 0, Source!BC75, 1)</f>
        <v>7.73</v>
      </c>
      <c r="K117" s="37">
        <f>Source!P75</f>
        <v>18.559999999999999</v>
      </c>
      <c r="L117" s="39"/>
    </row>
    <row r="118" spans="1:26" ht="14.25" x14ac:dyDescent="0.2">
      <c r="A118" s="22"/>
      <c r="B118" s="52"/>
      <c r="C118" s="52" t="s">
        <v>421</v>
      </c>
      <c r="D118" s="36" t="s">
        <v>422</v>
      </c>
      <c r="E118" s="9">
        <f>Source!BZ75</f>
        <v>83</v>
      </c>
      <c r="F118" s="55"/>
      <c r="G118" s="38"/>
      <c r="H118" s="37">
        <f>SUM(S112:S122)</f>
        <v>7.36</v>
      </c>
      <c r="I118" s="40"/>
      <c r="J118" s="35">
        <f>Source!AT75</f>
        <v>83</v>
      </c>
      <c r="K118" s="37">
        <f>SUM(T112:T122)</f>
        <v>56.9</v>
      </c>
      <c r="L118" s="39"/>
    </row>
    <row r="119" spans="1:26" ht="14.25" x14ac:dyDescent="0.2">
      <c r="A119" s="22"/>
      <c r="B119" s="52"/>
      <c r="C119" s="52" t="s">
        <v>423</v>
      </c>
      <c r="D119" s="36" t="s">
        <v>422</v>
      </c>
      <c r="E119" s="9">
        <f>Source!CA75</f>
        <v>65</v>
      </c>
      <c r="F119" s="55"/>
      <c r="G119" s="38"/>
      <c r="H119" s="37">
        <f>SUM(U112:U122)</f>
        <v>5.77</v>
      </c>
      <c r="I119" s="40"/>
      <c r="J119" s="35">
        <f>Source!AU75</f>
        <v>65</v>
      </c>
      <c r="K119" s="37">
        <f>SUM(V112:V122)</f>
        <v>44.56</v>
      </c>
      <c r="L119" s="39"/>
    </row>
    <row r="120" spans="1:26" ht="14.25" x14ac:dyDescent="0.2">
      <c r="A120" s="22"/>
      <c r="B120" s="52"/>
      <c r="C120" s="52" t="s">
        <v>424</v>
      </c>
      <c r="D120" s="36" t="s">
        <v>425</v>
      </c>
      <c r="E120" s="9">
        <f>Source!AQ75</f>
        <v>41.41</v>
      </c>
      <c r="F120" s="37"/>
      <c r="G120" s="38" t="str">
        <f>Source!DI75</f>
        <v/>
      </c>
      <c r="H120" s="37"/>
      <c r="I120" s="38"/>
      <c r="J120" s="38"/>
      <c r="K120" s="37"/>
      <c r="L120" s="41">
        <f>Source!U75</f>
        <v>1.03525</v>
      </c>
    </row>
    <row r="121" spans="1:26" ht="28.5" x14ac:dyDescent="0.2">
      <c r="A121" s="22" t="str">
        <f>Source!E76</f>
        <v>7,1</v>
      </c>
      <c r="B121" s="52" t="str">
        <f>Source!F76</f>
        <v>08.3.05.05-0053</v>
      </c>
      <c r="C121" s="52" t="str">
        <f>Source!G76</f>
        <v>Сталь листовая оцинкованная, толщина 0,7 мм</v>
      </c>
      <c r="D121" s="36" t="str">
        <f>Source!H76</f>
        <v>т</v>
      </c>
      <c r="E121" s="9">
        <f>Source!I76</f>
        <v>1.415E-3</v>
      </c>
      <c r="F121" s="37">
        <f>Source!AL76+Source!AM76+Source!AO76</f>
        <v>11200</v>
      </c>
      <c r="G121" s="50" t="s">
        <v>3</v>
      </c>
      <c r="H121" s="37">
        <f>ROUND(Source!AC76*Source!I76, 2)+ROUND(Source!AD76*Source!I76, 2)+ROUND(Source!AF76*Source!I76, 2)</f>
        <v>15.85</v>
      </c>
      <c r="I121" s="38"/>
      <c r="J121" s="38">
        <f>IF(Source!BC76&lt;&gt; 0, Source!BC76, 1)</f>
        <v>7.73</v>
      </c>
      <c r="K121" s="37">
        <f>Source!O76</f>
        <v>122.51</v>
      </c>
      <c r="L121" s="39"/>
      <c r="S121">
        <f>ROUND((Source!FX76/100)*((ROUND(Source!AF76*Source!I76, 2)+ROUND(Source!AE76*Source!I76, 2))), 2)</f>
        <v>0</v>
      </c>
      <c r="T121">
        <f>Source!X76</f>
        <v>0</v>
      </c>
      <c r="U121">
        <f>ROUND((Source!FY76/100)*((ROUND(Source!AF76*Source!I76, 2)+ROUND(Source!AE76*Source!I76, 2))), 2)</f>
        <v>0</v>
      </c>
      <c r="V121">
        <f>Source!Y76</f>
        <v>0</v>
      </c>
      <c r="W121">
        <f>IF(Source!BI76&lt;=1,H121, 0)</f>
        <v>15.85</v>
      </c>
      <c r="X121">
        <f>IF(Source!BI76=2,H121, 0)</f>
        <v>0</v>
      </c>
      <c r="Y121">
        <f>IF(Source!BI76=3,H121, 0)</f>
        <v>0</v>
      </c>
      <c r="Z121">
        <f>IF(Source!BI76=4,H121, 0)</f>
        <v>0</v>
      </c>
    </row>
    <row r="122" spans="1:26" ht="14.25" x14ac:dyDescent="0.2">
      <c r="A122" s="53" t="str">
        <f>Source!E77</f>
        <v>7,2</v>
      </c>
      <c r="B122" s="54" t="str">
        <f>Source!F77</f>
        <v>999-9900</v>
      </c>
      <c r="C122" s="54" t="str">
        <f>Source!G77</f>
        <v>Строительный мусор</v>
      </c>
      <c r="D122" s="42" t="str">
        <f>Source!H77</f>
        <v>т</v>
      </c>
      <c r="E122" s="43">
        <f>Source!I77</f>
        <v>5.5999999999999999E-3</v>
      </c>
      <c r="F122" s="44">
        <f>Source!AL77+Source!AM77+Source!AO77</f>
        <v>0</v>
      </c>
      <c r="G122" s="45" t="s">
        <v>3</v>
      </c>
      <c r="H122" s="44">
        <f>ROUND(Source!AC77*Source!I77, 2)+ROUND(Source!AD77*Source!I77, 2)+ROUND(Source!AF77*Source!I77, 2)</f>
        <v>0</v>
      </c>
      <c r="I122" s="46"/>
      <c r="J122" s="46">
        <f>IF(Source!BC77&lt;&gt; 0, Source!BC77, 1)</f>
        <v>7.73</v>
      </c>
      <c r="K122" s="44">
        <f>Source!O77</f>
        <v>0</v>
      </c>
      <c r="L122" s="47"/>
      <c r="S122">
        <f>ROUND((Source!FX77/100)*((ROUND(Source!AF77*Source!I77, 2)+ROUND(Source!AE77*Source!I77, 2))), 2)</f>
        <v>0</v>
      </c>
      <c r="T122">
        <f>Source!X77</f>
        <v>0</v>
      </c>
      <c r="U122">
        <f>ROUND((Source!FY77/100)*((ROUND(Source!AF77*Source!I77, 2)+ROUND(Source!AE77*Source!I77, 2))), 2)</f>
        <v>0</v>
      </c>
      <c r="V122">
        <f>Source!Y77</f>
        <v>0</v>
      </c>
      <c r="W122">
        <f>IF(Source!BI77&lt;=1,H122, 0)</f>
        <v>0</v>
      </c>
      <c r="X122">
        <f>IF(Source!BI77=2,H122, 0)</f>
        <v>0</v>
      </c>
      <c r="Y122">
        <f>IF(Source!BI77=3,H122, 0)</f>
        <v>0</v>
      </c>
      <c r="Z122">
        <f>IF(Source!BI77=4,H122, 0)</f>
        <v>0</v>
      </c>
    </row>
    <row r="123" spans="1:26" ht="15" x14ac:dyDescent="0.25">
      <c r="G123" s="62">
        <f>H114+H115+H117+H118+H119+SUM(H121:H122)</f>
        <v>40.340000000000003</v>
      </c>
      <c r="H123" s="62"/>
      <c r="J123" s="62">
        <f>K114+K115+K117+K118+K119+SUM(K121:K122)</f>
        <v>311.78000000000003</v>
      </c>
      <c r="K123" s="62"/>
      <c r="L123" s="48">
        <f>Source!U75</f>
        <v>1.03525</v>
      </c>
      <c r="O123" s="31">
        <f>G123</f>
        <v>40.340000000000003</v>
      </c>
      <c r="P123" s="31">
        <f>J123</f>
        <v>311.78000000000003</v>
      </c>
      <c r="Q123" s="31">
        <f>L123</f>
        <v>1.03525</v>
      </c>
      <c r="W123">
        <f>IF(Source!BI75&lt;=1,H114+H115+H117+H118+H119, 0)</f>
        <v>24.490000000000002</v>
      </c>
      <c r="X123">
        <f>IF(Source!BI75=2,H114+H115+H117+H118+H119, 0)</f>
        <v>0</v>
      </c>
      <c r="Y123">
        <f>IF(Source!BI75=3,H114+H115+H117+H118+H119, 0)</f>
        <v>0</v>
      </c>
      <c r="Z123">
        <f>IF(Source!BI75=4,H114+H115+H117+H118+H119, 0)</f>
        <v>0</v>
      </c>
    </row>
    <row r="124" spans="1:26" ht="99.75" x14ac:dyDescent="0.2">
      <c r="A124" s="22" t="str">
        <f>Source!E78</f>
        <v>8</v>
      </c>
      <c r="B124" s="52" t="s">
        <v>428</v>
      </c>
      <c r="C124" s="52" t="str">
        <f>Source!G78</f>
        <v>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</v>
      </c>
      <c r="D124" s="36" t="str">
        <f>Source!H78</f>
        <v>100 м2</v>
      </c>
      <c r="E124" s="9">
        <f>Source!I78</f>
        <v>0.65200000000000002</v>
      </c>
      <c r="F124" s="37">
        <f>Source!AL78+Source!AM78+Source!AO78</f>
        <v>7734.46</v>
      </c>
      <c r="G124" s="38"/>
      <c r="H124" s="37"/>
      <c r="I124" s="38" t="str">
        <f>Source!BO78</f>
        <v>4й квартал 2020 года (Письмо Минстроя РФ № 44016-ИФ/09 от 02.11.2020 г., Административные здания)</v>
      </c>
      <c r="J124" s="38"/>
      <c r="K124" s="37"/>
      <c r="L124" s="39"/>
      <c r="S124">
        <f>ROUND((Source!FX78/100)*((ROUND(Source!AF78*Source!I78, 2)+ROUND(Source!AE78*Source!I78, 2))), 2)</f>
        <v>1051.0899999999999</v>
      </c>
      <c r="T124">
        <f>Source!X78</f>
        <v>8109.7</v>
      </c>
      <c r="U124">
        <f>ROUND((Source!FY78/100)*((ROUND(Source!AF78*Source!I78, 2)+ROUND(Source!AE78*Source!I78, 2))), 2)</f>
        <v>530</v>
      </c>
      <c r="V124">
        <f>Source!Y78</f>
        <v>4131.3599999999997</v>
      </c>
    </row>
    <row r="125" spans="1:26" x14ac:dyDescent="0.2">
      <c r="C125" s="30" t="str">
        <f>"Объем: "&amp;Source!I78&amp;"=65,2/"&amp;"100"</f>
        <v>Объем: 0,652=65,2/100</v>
      </c>
    </row>
    <row r="126" spans="1:26" ht="14.25" x14ac:dyDescent="0.2">
      <c r="A126" s="22"/>
      <c r="B126" s="52"/>
      <c r="C126" s="52" t="s">
        <v>420</v>
      </c>
      <c r="D126" s="36"/>
      <c r="E126" s="9"/>
      <c r="F126" s="37">
        <f>Source!AO78</f>
        <v>1268.96</v>
      </c>
      <c r="G126" s="38" t="str">
        <f>Source!DG78</f>
        <v>)*1,15</v>
      </c>
      <c r="H126" s="37">
        <f>ROUND(Source!AF78*Source!I78, 2)</f>
        <v>951.46</v>
      </c>
      <c r="I126" s="38"/>
      <c r="J126" s="38">
        <f>IF(Source!BA78&lt;&gt; 0, Source!BA78, 1)</f>
        <v>7.73</v>
      </c>
      <c r="K126" s="37">
        <f>Source!S78</f>
        <v>7354.81</v>
      </c>
      <c r="L126" s="39"/>
      <c r="R126">
        <f>H126</f>
        <v>951.46</v>
      </c>
    </row>
    <row r="127" spans="1:26" ht="14.25" x14ac:dyDescent="0.2">
      <c r="A127" s="22"/>
      <c r="B127" s="52"/>
      <c r="C127" s="52" t="s">
        <v>76</v>
      </c>
      <c r="D127" s="36"/>
      <c r="E127" s="9"/>
      <c r="F127" s="37">
        <f>Source!AM78</f>
        <v>236.16</v>
      </c>
      <c r="G127" s="38" t="str">
        <f>Source!DE78</f>
        <v>)*1,25</v>
      </c>
      <c r="H127" s="37">
        <f>ROUND(Source!AD78*Source!I78, 2)</f>
        <v>192.47</v>
      </c>
      <c r="I127" s="38"/>
      <c r="J127" s="38">
        <f>IF(Source!BB78&lt;&gt; 0, Source!BB78, 1)</f>
        <v>7.73</v>
      </c>
      <c r="K127" s="37">
        <f>Source!Q78</f>
        <v>1487.8</v>
      </c>
      <c r="L127" s="39"/>
    </row>
    <row r="128" spans="1:26" ht="14.25" x14ac:dyDescent="0.2">
      <c r="A128" s="22"/>
      <c r="B128" s="52"/>
      <c r="C128" s="52" t="s">
        <v>426</v>
      </c>
      <c r="D128" s="36"/>
      <c r="E128" s="9"/>
      <c r="F128" s="37">
        <f>Source!AN78</f>
        <v>46.96</v>
      </c>
      <c r="G128" s="38" t="str">
        <f>Source!DF78</f>
        <v>)*1,25</v>
      </c>
      <c r="H128" s="49">
        <f>ROUND(Source!AE78*Source!I78, 2)</f>
        <v>38.270000000000003</v>
      </c>
      <c r="I128" s="38"/>
      <c r="J128" s="38">
        <f>IF(Source!BS78&lt;&gt; 0, Source!BS78, 1)</f>
        <v>7.73</v>
      </c>
      <c r="K128" s="49">
        <f>Source!R78</f>
        <v>295.85000000000002</v>
      </c>
      <c r="L128" s="39"/>
      <c r="R128">
        <f>H128</f>
        <v>38.270000000000003</v>
      </c>
    </row>
    <row r="129" spans="1:26" ht="14.25" x14ac:dyDescent="0.2">
      <c r="A129" s="22"/>
      <c r="B129" s="52"/>
      <c r="C129" s="52" t="s">
        <v>427</v>
      </c>
      <c r="D129" s="36"/>
      <c r="E129" s="9"/>
      <c r="F129" s="37">
        <f>Source!AL78</f>
        <v>6229.34</v>
      </c>
      <c r="G129" s="38" t="str">
        <f>Source!DD78</f>
        <v/>
      </c>
      <c r="H129" s="37">
        <f>ROUND(Source!AC78*Source!I78, 2)</f>
        <v>4061.53</v>
      </c>
      <c r="I129" s="38"/>
      <c r="J129" s="38">
        <f>IF(Source!BC78&lt;&gt; 0, Source!BC78, 1)</f>
        <v>7.73</v>
      </c>
      <c r="K129" s="37">
        <f>Source!P78</f>
        <v>31395.62</v>
      </c>
      <c r="L129" s="39"/>
    </row>
    <row r="130" spans="1:26" ht="14.25" x14ac:dyDescent="0.2">
      <c r="A130" s="22"/>
      <c r="B130" s="52"/>
      <c r="C130" s="52" t="s">
        <v>421</v>
      </c>
      <c r="D130" s="36" t="s">
        <v>422</v>
      </c>
      <c r="E130" s="9">
        <f>Source!BZ78</f>
        <v>118</v>
      </c>
      <c r="F130" s="61" t="str">
        <f>CONCATENATE(" )", Source!DL78, Source!FT78, "=", Source!FX78)</f>
        <v xml:space="preserve"> )*0,9=106,2</v>
      </c>
      <c r="G130" s="68"/>
      <c r="H130" s="37">
        <f>SUM(S124:S132)</f>
        <v>1051.0899999999999</v>
      </c>
      <c r="I130" s="40"/>
      <c r="J130" s="35">
        <f>Source!AT78</f>
        <v>106</v>
      </c>
      <c r="K130" s="37">
        <f>SUM(T124:T132)</f>
        <v>8109.7</v>
      </c>
      <c r="L130" s="39"/>
    </row>
    <row r="131" spans="1:26" ht="14.25" x14ac:dyDescent="0.2">
      <c r="A131" s="22"/>
      <c r="B131" s="52"/>
      <c r="C131" s="52" t="s">
        <v>423</v>
      </c>
      <c r="D131" s="36" t="s">
        <v>422</v>
      </c>
      <c r="E131" s="9">
        <f>Source!CA78</f>
        <v>63</v>
      </c>
      <c r="F131" s="61" t="str">
        <f>CONCATENATE(" )", Source!DM78, Source!FU78, "=", Source!FY78)</f>
        <v xml:space="preserve"> )*0,85=53,55</v>
      </c>
      <c r="G131" s="68"/>
      <c r="H131" s="37">
        <f>SUM(U124:U132)</f>
        <v>530</v>
      </c>
      <c r="I131" s="40"/>
      <c r="J131" s="35">
        <f>Source!AU78</f>
        <v>54</v>
      </c>
      <c r="K131" s="37">
        <f>SUM(V124:V132)</f>
        <v>4131.3599999999997</v>
      </c>
      <c r="L131" s="39"/>
    </row>
    <row r="132" spans="1:26" ht="14.25" x14ac:dyDescent="0.2">
      <c r="A132" s="53"/>
      <c r="B132" s="54"/>
      <c r="C132" s="54" t="s">
        <v>424</v>
      </c>
      <c r="D132" s="42" t="s">
        <v>425</v>
      </c>
      <c r="E132" s="43">
        <f>Source!AQ78</f>
        <v>145.19</v>
      </c>
      <c r="F132" s="44"/>
      <c r="G132" s="46" t="str">
        <f>Source!DI78</f>
        <v>)*1,15</v>
      </c>
      <c r="H132" s="44"/>
      <c r="I132" s="46"/>
      <c r="J132" s="46"/>
      <c r="K132" s="44"/>
      <c r="L132" s="51">
        <f>Source!U78</f>
        <v>108.86346199999998</v>
      </c>
    </row>
    <row r="133" spans="1:26" ht="15" x14ac:dyDescent="0.25">
      <c r="G133" s="62">
        <f>H126+H127+H129+H130+H131</f>
        <v>6786.55</v>
      </c>
      <c r="H133" s="62"/>
      <c r="J133" s="62">
        <f>K126+K127+K129+K130+K131</f>
        <v>52479.289999999994</v>
      </c>
      <c r="K133" s="62"/>
      <c r="L133" s="48">
        <f>Source!U78</f>
        <v>108.86346199999998</v>
      </c>
      <c r="O133" s="31">
        <f>G133</f>
        <v>6786.55</v>
      </c>
      <c r="P133" s="31">
        <f>J133</f>
        <v>52479.289999999994</v>
      </c>
      <c r="Q133" s="31">
        <f>L133</f>
        <v>108.86346199999998</v>
      </c>
      <c r="W133">
        <f>IF(Source!BI78&lt;=1,H126+H127+H129+H130+H131, 0)</f>
        <v>6786.55</v>
      </c>
      <c r="X133">
        <f>IF(Source!BI78=2,H126+H127+H129+H130+H131, 0)</f>
        <v>0</v>
      </c>
      <c r="Y133">
        <f>IF(Source!BI78=3,H126+H127+H129+H130+H131, 0)</f>
        <v>0</v>
      </c>
      <c r="Z133">
        <f>IF(Source!BI78=4,H126+H127+H129+H130+H131, 0)</f>
        <v>0</v>
      </c>
    </row>
    <row r="134" spans="1:26" ht="99.75" x14ac:dyDescent="0.2">
      <c r="A134" s="53" t="str">
        <f>Source!E80</f>
        <v>9</v>
      </c>
      <c r="B134" s="54" t="str">
        <f>Source!F80</f>
        <v>Цена поставщика</v>
      </c>
      <c r="C134" s="54" t="s">
        <v>429</v>
      </c>
      <c r="D134" s="42" t="str">
        <f>Source!H80</f>
        <v>м2</v>
      </c>
      <c r="E134" s="43">
        <f>Source!I80</f>
        <v>65.2</v>
      </c>
      <c r="F134" s="44">
        <f>Source!AL80</f>
        <v>1022.01</v>
      </c>
      <c r="G134" s="46" t="str">
        <f>Source!DD80</f>
        <v/>
      </c>
      <c r="H134" s="44">
        <f>ROUND(Source!AC80*Source!I80, 2)</f>
        <v>66635.05</v>
      </c>
      <c r="I134" s="46" t="str">
        <f>Source!BO80</f>
        <v>4й квартал 2020 года (Письмо Минстроя РФ № 44016-ИФ/09 от 02.11.2020 г., Административные здания)</v>
      </c>
      <c r="J134" s="46">
        <f>IF(Source!BC80&lt;&gt; 0, Source!BC80, 1)</f>
        <v>7.73</v>
      </c>
      <c r="K134" s="44">
        <f>Source!P80</f>
        <v>515088.95</v>
      </c>
      <c r="L134" s="47"/>
      <c r="S134">
        <f>ROUND((Source!FX80/100)*((ROUND(Source!AF80*Source!I80, 2)+ROUND(Source!AE80*Source!I80, 2))), 2)</f>
        <v>0</v>
      </c>
      <c r="T134">
        <f>Source!X80</f>
        <v>0</v>
      </c>
      <c r="U134">
        <f>ROUND((Source!FY80/100)*((ROUND(Source!AF80*Source!I80, 2)+ROUND(Source!AE80*Source!I80, 2))), 2)</f>
        <v>0</v>
      </c>
      <c r="V134">
        <f>Source!Y80</f>
        <v>0</v>
      </c>
    </row>
    <row r="135" spans="1:26" ht="15" x14ac:dyDescent="0.25">
      <c r="G135" s="62">
        <f>H134</f>
        <v>66635.05</v>
      </c>
      <c r="H135" s="62"/>
      <c r="J135" s="62">
        <f>K134</f>
        <v>515088.95</v>
      </c>
      <c r="K135" s="62"/>
      <c r="L135" s="48">
        <f>Source!U80</f>
        <v>0</v>
      </c>
      <c r="O135" s="31">
        <f>G135</f>
        <v>66635.05</v>
      </c>
      <c r="P135" s="31">
        <f>J135</f>
        <v>515088.95</v>
      </c>
      <c r="Q135" s="31">
        <f>L135</f>
        <v>0</v>
      </c>
      <c r="W135">
        <f>IF(Source!BI80&lt;=1,H134, 0)</f>
        <v>66635.05</v>
      </c>
      <c r="X135">
        <f>IF(Source!BI80=2,H134, 0)</f>
        <v>0</v>
      </c>
      <c r="Y135">
        <f>IF(Source!BI80=3,H134, 0)</f>
        <v>0</v>
      </c>
      <c r="Z135">
        <f>IF(Source!BI80=4,H134, 0)</f>
        <v>0</v>
      </c>
    </row>
    <row r="136" spans="1:26" ht="99.75" x14ac:dyDescent="0.2">
      <c r="A136" s="22" t="str">
        <f>Source!E81</f>
        <v>10</v>
      </c>
      <c r="B136" s="52" t="s">
        <v>430</v>
      </c>
      <c r="C136" s="52" t="str">
        <f>Source!G81</f>
        <v>Установка подоконных досок из ПВХ: в каменных стенах толщиной свыше 0,51 м</v>
      </c>
      <c r="D136" s="36" t="str">
        <f>Source!H81</f>
        <v>100 м</v>
      </c>
      <c r="E136" s="9">
        <f>Source!I81</f>
        <v>0.03</v>
      </c>
      <c r="F136" s="37">
        <f>Source!AL81+Source!AM81+Source!AO81</f>
        <v>3575.75</v>
      </c>
      <c r="G136" s="38"/>
      <c r="H136" s="37"/>
      <c r="I136" s="38" t="str">
        <f>Source!BO81</f>
        <v>4й квартал 2020 года (Письмо Минстроя РФ № 44016-ИФ/09 от 02.11.2020 г., Административные здания)</v>
      </c>
      <c r="J136" s="38"/>
      <c r="K136" s="37"/>
      <c r="L136" s="39"/>
      <c r="S136">
        <f>ROUND((Source!FX81/100)*((ROUND(Source!AF81*Source!I81, 2)+ROUND(Source!AE81*Source!I81, 2))), 2)</f>
        <v>6.3</v>
      </c>
      <c r="T136">
        <f>Source!X81</f>
        <v>48.58</v>
      </c>
      <c r="U136">
        <f>ROUND((Source!FY81/100)*((ROUND(Source!AF81*Source!I81, 2)+ROUND(Source!AE81*Source!I81, 2))), 2)</f>
        <v>3.18</v>
      </c>
      <c r="V136">
        <f>Source!Y81</f>
        <v>24.75</v>
      </c>
    </row>
    <row r="137" spans="1:26" x14ac:dyDescent="0.2">
      <c r="C137" s="30" t="str">
        <f>"Объем: "&amp;Source!I81&amp;"=3/"&amp;"100"</f>
        <v>Объем: 0,03=3/100</v>
      </c>
    </row>
    <row r="138" spans="1:26" ht="14.25" x14ac:dyDescent="0.2">
      <c r="A138" s="22"/>
      <c r="B138" s="52"/>
      <c r="C138" s="52" t="s">
        <v>420</v>
      </c>
      <c r="D138" s="36"/>
      <c r="E138" s="9"/>
      <c r="F138" s="37">
        <f>Source!AO81</f>
        <v>167.27</v>
      </c>
      <c r="G138" s="38" t="str">
        <f>Source!DG81</f>
        <v>)*1,15</v>
      </c>
      <c r="H138" s="37">
        <f>ROUND(Source!AF81*Source!I81, 2)</f>
        <v>5.77</v>
      </c>
      <c r="I138" s="38"/>
      <c r="J138" s="38">
        <f>IF(Source!BA81&lt;&gt; 0, Source!BA81, 1)</f>
        <v>7.73</v>
      </c>
      <c r="K138" s="37">
        <f>Source!S81</f>
        <v>44.61</v>
      </c>
      <c r="L138" s="39"/>
      <c r="R138">
        <f>H138</f>
        <v>5.77</v>
      </c>
    </row>
    <row r="139" spans="1:26" ht="14.25" x14ac:dyDescent="0.2">
      <c r="A139" s="22"/>
      <c r="B139" s="52"/>
      <c r="C139" s="52" t="s">
        <v>76</v>
      </c>
      <c r="D139" s="36"/>
      <c r="E139" s="9"/>
      <c r="F139" s="37">
        <f>Source!AM81</f>
        <v>20.59</v>
      </c>
      <c r="G139" s="38" t="str">
        <f>Source!DE81</f>
        <v>)*1,25</v>
      </c>
      <c r="H139" s="37">
        <f>ROUND(Source!AD81*Source!I81, 2)</f>
        <v>0.77</v>
      </c>
      <c r="I139" s="38"/>
      <c r="J139" s="38">
        <f>IF(Source!BB81&lt;&gt; 0, Source!BB81, 1)</f>
        <v>7.73</v>
      </c>
      <c r="K139" s="37">
        <f>Source!Q81</f>
        <v>5.97</v>
      </c>
      <c r="L139" s="39"/>
    </row>
    <row r="140" spans="1:26" ht="14.25" x14ac:dyDescent="0.2">
      <c r="A140" s="22"/>
      <c r="B140" s="52"/>
      <c r="C140" s="52" t="s">
        <v>426</v>
      </c>
      <c r="D140" s="36"/>
      <c r="E140" s="9"/>
      <c r="F140" s="37">
        <f>Source!AN81</f>
        <v>4.2</v>
      </c>
      <c r="G140" s="38" t="str">
        <f>Source!DF81</f>
        <v>)*1,25</v>
      </c>
      <c r="H140" s="49">
        <f>ROUND(Source!AE81*Source!I81, 2)</f>
        <v>0.16</v>
      </c>
      <c r="I140" s="38"/>
      <c r="J140" s="38">
        <f>IF(Source!BS81&lt;&gt; 0, Source!BS81, 1)</f>
        <v>7.73</v>
      </c>
      <c r="K140" s="49">
        <f>Source!R81</f>
        <v>1.22</v>
      </c>
      <c r="L140" s="39"/>
      <c r="R140">
        <f>H140</f>
        <v>0.16</v>
      </c>
    </row>
    <row r="141" spans="1:26" ht="14.25" x14ac:dyDescent="0.2">
      <c r="A141" s="22"/>
      <c r="B141" s="52"/>
      <c r="C141" s="52" t="s">
        <v>427</v>
      </c>
      <c r="D141" s="36"/>
      <c r="E141" s="9"/>
      <c r="F141" s="37">
        <f>Source!AL81</f>
        <v>3387.89</v>
      </c>
      <c r="G141" s="38" t="str">
        <f>Source!DD81</f>
        <v/>
      </c>
      <c r="H141" s="37">
        <f>ROUND(Source!AC81*Source!I81, 2)</f>
        <v>101.64</v>
      </c>
      <c r="I141" s="38"/>
      <c r="J141" s="38">
        <f>IF(Source!BC81&lt;&gt; 0, Source!BC81, 1)</f>
        <v>7.73</v>
      </c>
      <c r="K141" s="37">
        <f>Source!P81</f>
        <v>785.65</v>
      </c>
      <c r="L141" s="39"/>
    </row>
    <row r="142" spans="1:26" ht="14.25" x14ac:dyDescent="0.2">
      <c r="A142" s="22"/>
      <c r="B142" s="52"/>
      <c r="C142" s="52" t="s">
        <v>421</v>
      </c>
      <c r="D142" s="36" t="s">
        <v>422</v>
      </c>
      <c r="E142" s="9">
        <f>Source!BZ81</f>
        <v>118</v>
      </c>
      <c r="F142" s="61" t="str">
        <f>CONCATENATE(" )", Source!DL81, Source!FT81, "=", Source!FX81)</f>
        <v xml:space="preserve"> )*0,9=106,2</v>
      </c>
      <c r="G142" s="68"/>
      <c r="H142" s="37">
        <f>SUM(S136:S146)</f>
        <v>6.3</v>
      </c>
      <c r="I142" s="40"/>
      <c r="J142" s="35">
        <f>Source!AT81</f>
        <v>106</v>
      </c>
      <c r="K142" s="37">
        <f>SUM(T136:T146)</f>
        <v>48.58</v>
      </c>
      <c r="L142" s="39"/>
    </row>
    <row r="143" spans="1:26" ht="14.25" x14ac:dyDescent="0.2">
      <c r="A143" s="22"/>
      <c r="B143" s="52"/>
      <c r="C143" s="52" t="s">
        <v>423</v>
      </c>
      <c r="D143" s="36" t="s">
        <v>422</v>
      </c>
      <c r="E143" s="9">
        <f>Source!CA81</f>
        <v>63</v>
      </c>
      <c r="F143" s="61" t="str">
        <f>CONCATENATE(" )", Source!DM81, Source!FU81, "=", Source!FY81)</f>
        <v xml:space="preserve"> )*0,85=53,55</v>
      </c>
      <c r="G143" s="68"/>
      <c r="H143" s="37">
        <f>SUM(U136:U146)</f>
        <v>3.18</v>
      </c>
      <c r="I143" s="40"/>
      <c r="J143" s="35">
        <f>Source!AU81</f>
        <v>54</v>
      </c>
      <c r="K143" s="37">
        <f>SUM(V136:V146)</f>
        <v>24.75</v>
      </c>
      <c r="L143" s="39"/>
    </row>
    <row r="144" spans="1:26" ht="14.25" x14ac:dyDescent="0.2">
      <c r="A144" s="22"/>
      <c r="B144" s="52"/>
      <c r="C144" s="52" t="s">
        <v>424</v>
      </c>
      <c r="D144" s="36" t="s">
        <v>425</v>
      </c>
      <c r="E144" s="9">
        <f>Source!AQ81</f>
        <v>19.61</v>
      </c>
      <c r="F144" s="37"/>
      <c r="G144" s="38" t="str">
        <f>Source!DI81</f>
        <v>)*1,15</v>
      </c>
      <c r="H144" s="37"/>
      <c r="I144" s="38"/>
      <c r="J144" s="38"/>
      <c r="K144" s="37"/>
      <c r="L144" s="41">
        <f>Source!U81</f>
        <v>0.67654499999999984</v>
      </c>
    </row>
    <row r="145" spans="1:26" ht="28.5" x14ac:dyDescent="0.2">
      <c r="A145" s="22" t="str">
        <f>Source!E82</f>
        <v>10,1</v>
      </c>
      <c r="B145" s="52" t="str">
        <f>Source!F82</f>
        <v>11.3.03.01-0011</v>
      </c>
      <c r="C145" s="52" t="str">
        <f>Source!G82</f>
        <v>Доски подоконные из ПВХ, ширина 600 мм</v>
      </c>
      <c r="D145" s="36" t="str">
        <f>Source!H82</f>
        <v>м</v>
      </c>
      <c r="E145" s="9">
        <f>Source!I82</f>
        <v>3</v>
      </c>
      <c r="F145" s="37">
        <f>Source!AL82+Source!AM82+Source!AO82</f>
        <v>74.91</v>
      </c>
      <c r="G145" s="50" t="s">
        <v>3</v>
      </c>
      <c r="H145" s="37">
        <f>ROUND(Source!AC82*Source!I82, 2)+ROUND(Source!AD82*Source!I82, 2)+ROUND(Source!AF82*Source!I82, 2)</f>
        <v>224.73</v>
      </c>
      <c r="I145" s="38"/>
      <c r="J145" s="38">
        <f>IF(Source!BC82&lt;&gt; 0, Source!BC82, 1)</f>
        <v>7.73</v>
      </c>
      <c r="K145" s="37">
        <f>Source!O82</f>
        <v>1737.16</v>
      </c>
      <c r="L145" s="39"/>
      <c r="S145">
        <f>ROUND((Source!FX82/100)*((ROUND(Source!AF82*Source!I82, 2)+ROUND(Source!AE82*Source!I82, 2))), 2)</f>
        <v>0</v>
      </c>
      <c r="T145">
        <f>Source!X82</f>
        <v>0</v>
      </c>
      <c r="U145">
        <f>ROUND((Source!FY82/100)*((ROUND(Source!AF82*Source!I82, 2)+ROUND(Source!AE82*Source!I82, 2))), 2)</f>
        <v>0</v>
      </c>
      <c r="V145">
        <f>Source!Y82</f>
        <v>0</v>
      </c>
      <c r="W145">
        <f>IF(Source!BI82&lt;=1,H145, 0)</f>
        <v>224.73</v>
      </c>
      <c r="X145">
        <f>IF(Source!BI82=2,H145, 0)</f>
        <v>0</v>
      </c>
      <c r="Y145">
        <f>IF(Source!BI82=3,H145, 0)</f>
        <v>0</v>
      </c>
      <c r="Z145">
        <f>IF(Source!BI82=4,H145, 0)</f>
        <v>0</v>
      </c>
    </row>
    <row r="146" spans="1:26" ht="42.75" x14ac:dyDescent="0.2">
      <c r="A146" s="53" t="str">
        <f>Source!E83</f>
        <v>10,2</v>
      </c>
      <c r="B146" s="54" t="str">
        <f>Source!F83</f>
        <v>11.3.03.14-1000</v>
      </c>
      <c r="C146" s="54" t="str">
        <f>Source!G83</f>
        <v>Заглушки торцевые двусторонние к подоконной доске из ПВХ, белый, мрамор, размеры 40x480 мм</v>
      </c>
      <c r="D146" s="42" t="str">
        <f>Source!H83</f>
        <v>10 ШТ</v>
      </c>
      <c r="E146" s="43">
        <f>Source!I83</f>
        <v>0.2</v>
      </c>
      <c r="F146" s="44">
        <f>Source!AL83+Source!AM83+Source!AO83</f>
        <v>3.15</v>
      </c>
      <c r="G146" s="45" t="s">
        <v>3</v>
      </c>
      <c r="H146" s="44">
        <f>ROUND(Source!AC83*Source!I83, 2)+ROUND(Source!AD83*Source!I83, 2)+ROUND(Source!AF83*Source!I83, 2)</f>
        <v>0.63</v>
      </c>
      <c r="I146" s="46"/>
      <c r="J146" s="46">
        <f>IF(Source!BC83&lt;&gt; 0, Source!BC83, 1)</f>
        <v>7.73</v>
      </c>
      <c r="K146" s="44">
        <f>Source!O83</f>
        <v>4.87</v>
      </c>
      <c r="L146" s="47"/>
      <c r="S146">
        <f>ROUND((Source!FX83/100)*((ROUND(Source!AF83*Source!I83, 2)+ROUND(Source!AE83*Source!I83, 2))), 2)</f>
        <v>0</v>
      </c>
      <c r="T146">
        <f>Source!X83</f>
        <v>0</v>
      </c>
      <c r="U146">
        <f>ROUND((Source!FY83/100)*((ROUND(Source!AF83*Source!I83, 2)+ROUND(Source!AE83*Source!I83, 2))), 2)</f>
        <v>0</v>
      </c>
      <c r="V146">
        <f>Source!Y83</f>
        <v>0</v>
      </c>
      <c r="W146">
        <f>IF(Source!BI83&lt;=1,H146, 0)</f>
        <v>0.63</v>
      </c>
      <c r="X146">
        <f>IF(Source!BI83=2,H146, 0)</f>
        <v>0</v>
      </c>
      <c r="Y146">
        <f>IF(Source!BI83=3,H146, 0)</f>
        <v>0</v>
      </c>
      <c r="Z146">
        <f>IF(Source!BI83=4,H146, 0)</f>
        <v>0</v>
      </c>
    </row>
    <row r="147" spans="1:26" ht="15" x14ac:dyDescent="0.25">
      <c r="G147" s="62">
        <f>H138+H139+H141+H142+H143+SUM(H145:H146)</f>
        <v>343.02</v>
      </c>
      <c r="H147" s="62"/>
      <c r="J147" s="62">
        <f>K138+K139+K141+K142+K143+SUM(K145:K146)</f>
        <v>2651.59</v>
      </c>
      <c r="K147" s="62"/>
      <c r="L147" s="48">
        <f>Source!U81</f>
        <v>0.67654499999999984</v>
      </c>
      <c r="O147" s="31">
        <f>G147</f>
        <v>343.02</v>
      </c>
      <c r="P147" s="31">
        <f>J147</f>
        <v>2651.59</v>
      </c>
      <c r="Q147" s="31">
        <f>L147</f>
        <v>0.67654499999999984</v>
      </c>
      <c r="W147">
        <f>IF(Source!BI81&lt;=1,H138+H139+H141+H142+H143, 0)</f>
        <v>117.66000000000001</v>
      </c>
      <c r="X147">
        <f>IF(Source!BI81=2,H138+H139+H141+H142+H143, 0)</f>
        <v>0</v>
      </c>
      <c r="Y147">
        <f>IF(Source!BI81=3,H138+H139+H141+H142+H143, 0)</f>
        <v>0</v>
      </c>
      <c r="Z147">
        <f>IF(Source!BI81=4,H138+H139+H141+H142+H143, 0)</f>
        <v>0</v>
      </c>
    </row>
    <row r="148" spans="1:26" ht="99.75" x14ac:dyDescent="0.2">
      <c r="A148" s="22" t="str">
        <f>Source!E84</f>
        <v>11</v>
      </c>
      <c r="B148" s="52" t="s">
        <v>431</v>
      </c>
      <c r="C148" s="52" t="str">
        <f>Source!G84</f>
        <v>Облицовка оконных и дверных откосов декоративным бумажно-слоистым пластиком или листами из синтетических материалов на клее</v>
      </c>
      <c r="D148" s="36" t="str">
        <f>Source!H84</f>
        <v>100 м2</v>
      </c>
      <c r="E148" s="9">
        <f>Source!I84</f>
        <v>7.9200000000000007E-2</v>
      </c>
      <c r="F148" s="37">
        <f>Source!AL84+Source!AM84+Source!AO84</f>
        <v>1563.91</v>
      </c>
      <c r="G148" s="38"/>
      <c r="H148" s="37"/>
      <c r="I148" s="38" t="str">
        <f>Source!BO84</f>
        <v>4й квартал 2020 года (Письмо Минстроя РФ № 44016-ИФ/09 от 02.11.2020 г., Административные здания)</v>
      </c>
      <c r="J148" s="38"/>
      <c r="K148" s="37"/>
      <c r="L148" s="39"/>
      <c r="S148">
        <f>ROUND((Source!FX84/100)*((ROUND(Source!AF84*Source!I84, 2)+ROUND(Source!AE84*Source!I84, 2))), 2)</f>
        <v>132.18</v>
      </c>
      <c r="T148">
        <f>Source!X84</f>
        <v>1027.1300000000001</v>
      </c>
      <c r="U148">
        <f>ROUND((Source!FY84/100)*((ROUND(Source!AF84*Source!I84, 2)+ROUND(Source!AE84*Source!I84, 2))), 2)</f>
        <v>65.39</v>
      </c>
      <c r="V148">
        <f>Source!Y84</f>
        <v>508.16</v>
      </c>
    </row>
    <row r="149" spans="1:26" x14ac:dyDescent="0.2">
      <c r="C149" s="30" t="str">
        <f>"Объем: "&amp;Source!I84&amp;"=7,92/"&amp;"100"</f>
        <v>Объем: 0,0792=7,92/100</v>
      </c>
    </row>
    <row r="150" spans="1:26" ht="14.25" x14ac:dyDescent="0.2">
      <c r="A150" s="22"/>
      <c r="B150" s="52"/>
      <c r="C150" s="52" t="s">
        <v>420</v>
      </c>
      <c r="D150" s="36"/>
      <c r="E150" s="9"/>
      <c r="F150" s="37">
        <f>Source!AO84</f>
        <v>1528.19</v>
      </c>
      <c r="G150" s="38" t="str">
        <f>Source!DG84</f>
        <v>)*1,15</v>
      </c>
      <c r="H150" s="37">
        <f>ROUND(Source!AF84*Source!I84, 2)</f>
        <v>139.19</v>
      </c>
      <c r="I150" s="38"/>
      <c r="J150" s="38">
        <f>IF(Source!BA84&lt;&gt; 0, Source!BA84, 1)</f>
        <v>7.73</v>
      </c>
      <c r="K150" s="37">
        <f>Source!S84</f>
        <v>1075.92</v>
      </c>
      <c r="L150" s="39"/>
      <c r="R150">
        <f>H150</f>
        <v>139.19</v>
      </c>
    </row>
    <row r="151" spans="1:26" ht="14.25" x14ac:dyDescent="0.2">
      <c r="A151" s="22"/>
      <c r="B151" s="52"/>
      <c r="C151" s="52" t="s">
        <v>76</v>
      </c>
      <c r="D151" s="36"/>
      <c r="E151" s="9"/>
      <c r="F151" s="37">
        <f>Source!AM84</f>
        <v>35.36</v>
      </c>
      <c r="G151" s="38" t="str">
        <f>Source!DE84</f>
        <v>)*1,25</v>
      </c>
      <c r="H151" s="37">
        <f>ROUND(Source!AD84*Source!I84, 2)</f>
        <v>3.5</v>
      </c>
      <c r="I151" s="38"/>
      <c r="J151" s="38">
        <f>IF(Source!BB84&lt;&gt; 0, Source!BB84, 1)</f>
        <v>7.73</v>
      </c>
      <c r="K151" s="37">
        <f>Source!Q84</f>
        <v>27.06</v>
      </c>
      <c r="L151" s="39"/>
    </row>
    <row r="152" spans="1:26" ht="14.25" x14ac:dyDescent="0.2">
      <c r="A152" s="22"/>
      <c r="B152" s="52"/>
      <c r="C152" s="52" t="s">
        <v>426</v>
      </c>
      <c r="D152" s="36"/>
      <c r="E152" s="9"/>
      <c r="F152" s="37">
        <f>Source!AN84</f>
        <v>6.88</v>
      </c>
      <c r="G152" s="38" t="str">
        <f>Source!DF84</f>
        <v>)*1,25</v>
      </c>
      <c r="H152" s="49">
        <f>ROUND(Source!AE84*Source!I84, 2)</f>
        <v>0.68</v>
      </c>
      <c r="I152" s="38"/>
      <c r="J152" s="38">
        <f>IF(Source!BS84&lt;&gt; 0, Source!BS84, 1)</f>
        <v>7.73</v>
      </c>
      <c r="K152" s="49">
        <f>Source!R84</f>
        <v>5.27</v>
      </c>
      <c r="L152" s="39"/>
      <c r="R152">
        <f>H152</f>
        <v>0.68</v>
      </c>
    </row>
    <row r="153" spans="1:26" ht="14.25" x14ac:dyDescent="0.2">
      <c r="A153" s="22"/>
      <c r="B153" s="52"/>
      <c r="C153" s="52" t="s">
        <v>427</v>
      </c>
      <c r="D153" s="36"/>
      <c r="E153" s="9"/>
      <c r="F153" s="37">
        <f>Source!AL84</f>
        <v>0.36</v>
      </c>
      <c r="G153" s="38" t="str">
        <f>Source!DD84</f>
        <v/>
      </c>
      <c r="H153" s="37">
        <f>ROUND(Source!AC84*Source!I84, 2)</f>
        <v>0.03</v>
      </c>
      <c r="I153" s="38"/>
      <c r="J153" s="38">
        <f>IF(Source!BC84&lt;&gt; 0, Source!BC84, 1)</f>
        <v>7.73</v>
      </c>
      <c r="K153" s="37">
        <f>Source!P84</f>
        <v>0.22</v>
      </c>
      <c r="L153" s="39"/>
    </row>
    <row r="154" spans="1:26" ht="14.25" x14ac:dyDescent="0.2">
      <c r="A154" s="22"/>
      <c r="B154" s="52"/>
      <c r="C154" s="52" t="s">
        <v>421</v>
      </c>
      <c r="D154" s="36" t="s">
        <v>422</v>
      </c>
      <c r="E154" s="9">
        <f>Source!BZ84</f>
        <v>105</v>
      </c>
      <c r="F154" s="61" t="str">
        <f>CONCATENATE(" )", Source!DL84, Source!FT84, "=", Source!FX84)</f>
        <v xml:space="preserve"> )*0,9=94,5</v>
      </c>
      <c r="G154" s="68"/>
      <c r="H154" s="37">
        <f>SUM(S148:S159)</f>
        <v>132.18</v>
      </c>
      <c r="I154" s="40"/>
      <c r="J154" s="35">
        <f>Source!AT84</f>
        <v>95</v>
      </c>
      <c r="K154" s="37">
        <f>SUM(T148:T159)</f>
        <v>1027.1300000000001</v>
      </c>
      <c r="L154" s="39"/>
    </row>
    <row r="155" spans="1:26" ht="14.25" x14ac:dyDescent="0.2">
      <c r="A155" s="22"/>
      <c r="B155" s="52"/>
      <c r="C155" s="52" t="s">
        <v>423</v>
      </c>
      <c r="D155" s="36" t="s">
        <v>422</v>
      </c>
      <c r="E155" s="9">
        <f>Source!CA84</f>
        <v>55</v>
      </c>
      <c r="F155" s="61" t="str">
        <f>CONCATENATE(" )", Source!DM84, Source!FU84, "=", Source!FY84)</f>
        <v xml:space="preserve"> )*0,85=46,75</v>
      </c>
      <c r="G155" s="68"/>
      <c r="H155" s="37">
        <f>SUM(U148:U159)</f>
        <v>65.39</v>
      </c>
      <c r="I155" s="40"/>
      <c r="J155" s="35">
        <f>Source!AU84</f>
        <v>47</v>
      </c>
      <c r="K155" s="37">
        <f>SUM(V148:V159)</f>
        <v>508.16</v>
      </c>
      <c r="L155" s="39"/>
    </row>
    <row r="156" spans="1:26" ht="14.25" x14ac:dyDescent="0.2">
      <c r="A156" s="22"/>
      <c r="B156" s="52"/>
      <c r="C156" s="52" t="s">
        <v>424</v>
      </c>
      <c r="D156" s="36" t="s">
        <v>425</v>
      </c>
      <c r="E156" s="9">
        <f>Source!AQ84</f>
        <v>166.47</v>
      </c>
      <c r="F156" s="37"/>
      <c r="G156" s="38" t="str">
        <f>Source!DI84</f>
        <v>)*1,15</v>
      </c>
      <c r="H156" s="37"/>
      <c r="I156" s="38"/>
      <c r="J156" s="38"/>
      <c r="K156" s="37"/>
      <c r="L156" s="41">
        <f>Source!U84</f>
        <v>15.1620876</v>
      </c>
    </row>
    <row r="157" spans="1:26" ht="28.5" x14ac:dyDescent="0.2">
      <c r="A157" s="22" t="str">
        <f>Source!E85</f>
        <v>11,1</v>
      </c>
      <c r="B157" s="52" t="str">
        <f>Source!F85</f>
        <v>11.2.11.01-0001</v>
      </c>
      <c r="C157" s="52" t="str">
        <f>Source!G85</f>
        <v>Пластик бумажно-слоистый с декоративной стороной</v>
      </c>
      <c r="D157" s="36" t="str">
        <f>Source!H85</f>
        <v>1000 м2</v>
      </c>
      <c r="E157" s="9">
        <f>Source!I85</f>
        <v>8.3160000000000005E-3</v>
      </c>
      <c r="F157" s="37">
        <f>Source!AL85+Source!AM85+Source!AO85</f>
        <v>89300</v>
      </c>
      <c r="G157" s="50" t="s">
        <v>3</v>
      </c>
      <c r="H157" s="37">
        <f>ROUND(Source!AC85*Source!I85, 2)+ROUND(Source!AD85*Source!I85, 2)+ROUND(Source!AF85*Source!I85, 2)</f>
        <v>742.62</v>
      </c>
      <c r="I157" s="38"/>
      <c r="J157" s="38">
        <f>IF(Source!BC85&lt;&gt; 0, Source!BC85, 1)</f>
        <v>7.73</v>
      </c>
      <c r="K157" s="37">
        <f>Source!O85</f>
        <v>5740.44</v>
      </c>
      <c r="L157" s="39"/>
      <c r="S157">
        <f>ROUND((Source!FX85/100)*((ROUND(Source!AF85*Source!I85, 2)+ROUND(Source!AE85*Source!I85, 2))), 2)</f>
        <v>0</v>
      </c>
      <c r="T157">
        <f>Source!X85</f>
        <v>0</v>
      </c>
      <c r="U157">
        <f>ROUND((Source!FY85/100)*((ROUND(Source!AF85*Source!I85, 2)+ROUND(Source!AE85*Source!I85, 2))), 2)</f>
        <v>0</v>
      </c>
      <c r="V157">
        <f>Source!Y85</f>
        <v>0</v>
      </c>
      <c r="W157">
        <f>IF(Source!BI85&lt;=1,H157, 0)</f>
        <v>742.62</v>
      </c>
      <c r="X157">
        <f>IF(Source!BI85=2,H157, 0)</f>
        <v>0</v>
      </c>
      <c r="Y157">
        <f>IF(Source!BI85=3,H157, 0)</f>
        <v>0</v>
      </c>
      <c r="Z157">
        <f>IF(Source!BI85=4,H157, 0)</f>
        <v>0</v>
      </c>
    </row>
    <row r="158" spans="1:26" ht="28.5" x14ac:dyDescent="0.2">
      <c r="A158" s="22" t="str">
        <f>Source!E86</f>
        <v>11,2</v>
      </c>
      <c r="B158" s="52" t="str">
        <f>Source!F86</f>
        <v>14.1.02.04-0102</v>
      </c>
      <c r="C158" s="52" t="str">
        <f>Source!G86</f>
        <v>Клей для укладки ПВХ-покрытий</v>
      </c>
      <c r="D158" s="36" t="str">
        <f>Source!H86</f>
        <v>кг</v>
      </c>
      <c r="E158" s="9">
        <f>Source!I86</f>
        <v>2.3759999999999999</v>
      </c>
      <c r="F158" s="37">
        <f>Source!AL86+Source!AM86+Source!AO86</f>
        <v>25.56</v>
      </c>
      <c r="G158" s="50" t="s">
        <v>3</v>
      </c>
      <c r="H158" s="37">
        <f>ROUND(Source!AC86*Source!I86, 2)+ROUND(Source!AD86*Source!I86, 2)+ROUND(Source!AF86*Source!I86, 2)</f>
        <v>60.73</v>
      </c>
      <c r="I158" s="38"/>
      <c r="J158" s="38">
        <f>IF(Source!BC86&lt;&gt; 0, Source!BC86, 1)</f>
        <v>7.73</v>
      </c>
      <c r="K158" s="37">
        <f>Source!O86</f>
        <v>469.45</v>
      </c>
      <c r="L158" s="39"/>
      <c r="S158">
        <f>ROUND((Source!FX86/100)*((ROUND(Source!AF86*Source!I86, 2)+ROUND(Source!AE86*Source!I86, 2))), 2)</f>
        <v>0</v>
      </c>
      <c r="T158">
        <f>Source!X86</f>
        <v>0</v>
      </c>
      <c r="U158">
        <f>ROUND((Source!FY86/100)*((ROUND(Source!AF86*Source!I86, 2)+ROUND(Source!AE86*Source!I86, 2))), 2)</f>
        <v>0</v>
      </c>
      <c r="V158">
        <f>Source!Y86</f>
        <v>0</v>
      </c>
      <c r="W158">
        <f>IF(Source!BI86&lt;=1,H158, 0)</f>
        <v>60.73</v>
      </c>
      <c r="X158">
        <f>IF(Source!BI86=2,H158, 0)</f>
        <v>0</v>
      </c>
      <c r="Y158">
        <f>IF(Source!BI86=3,H158, 0)</f>
        <v>0</v>
      </c>
      <c r="Z158">
        <f>IF(Source!BI86=4,H158, 0)</f>
        <v>0</v>
      </c>
    </row>
    <row r="159" spans="1:26" ht="28.5" x14ac:dyDescent="0.2">
      <c r="A159" s="53" t="str">
        <f>Source!E87</f>
        <v>11,3</v>
      </c>
      <c r="B159" s="54" t="str">
        <f>Source!F87</f>
        <v>14.4.01.04-0001</v>
      </c>
      <c r="C159" s="54" t="str">
        <f>Source!G87</f>
        <v>Грунтовка для внутренних работ, укрепляющая, на водной основе</v>
      </c>
      <c r="D159" s="42" t="str">
        <f>Source!H87</f>
        <v>т</v>
      </c>
      <c r="E159" s="43">
        <f>Source!I87</f>
        <v>7.0500000000000011E-4</v>
      </c>
      <c r="F159" s="44">
        <f>Source!AL87+Source!AM87+Source!AO87</f>
        <v>11300</v>
      </c>
      <c r="G159" s="45" t="s">
        <v>3</v>
      </c>
      <c r="H159" s="44">
        <f>ROUND(Source!AC87*Source!I87, 2)+ROUND(Source!AD87*Source!I87, 2)+ROUND(Source!AF87*Source!I87, 2)</f>
        <v>7.97</v>
      </c>
      <c r="I159" s="46"/>
      <c r="J159" s="46">
        <f>IF(Source!BC87&lt;&gt; 0, Source!BC87, 1)</f>
        <v>7.73</v>
      </c>
      <c r="K159" s="44">
        <f>Source!O87</f>
        <v>61.58</v>
      </c>
      <c r="L159" s="47"/>
      <c r="S159">
        <f>ROUND((Source!FX87/100)*((ROUND(Source!AF87*Source!I87, 2)+ROUND(Source!AE87*Source!I87, 2))), 2)</f>
        <v>0</v>
      </c>
      <c r="T159">
        <f>Source!X87</f>
        <v>0</v>
      </c>
      <c r="U159">
        <f>ROUND((Source!FY87/100)*((ROUND(Source!AF87*Source!I87, 2)+ROUND(Source!AE87*Source!I87, 2))), 2)</f>
        <v>0</v>
      </c>
      <c r="V159">
        <f>Source!Y87</f>
        <v>0</v>
      </c>
      <c r="W159">
        <f>IF(Source!BI87&lt;=1,H159, 0)</f>
        <v>7.97</v>
      </c>
      <c r="X159">
        <f>IF(Source!BI87=2,H159, 0)</f>
        <v>0</v>
      </c>
      <c r="Y159">
        <f>IF(Source!BI87=3,H159, 0)</f>
        <v>0</v>
      </c>
      <c r="Z159">
        <f>IF(Source!BI87=4,H159, 0)</f>
        <v>0</v>
      </c>
    </row>
    <row r="160" spans="1:26" ht="15" x14ac:dyDescent="0.25">
      <c r="G160" s="62">
        <f>H150+H151+H153+H154+H155+SUM(H157:H159)</f>
        <v>1151.6100000000001</v>
      </c>
      <c r="H160" s="62"/>
      <c r="J160" s="62">
        <f>K150+K151+K153+K154+K155+SUM(K157:K159)</f>
        <v>8909.9599999999991</v>
      </c>
      <c r="K160" s="62"/>
      <c r="L160" s="48">
        <f>Source!U84</f>
        <v>15.1620876</v>
      </c>
      <c r="O160" s="31">
        <f>G160</f>
        <v>1151.6100000000001</v>
      </c>
      <c r="P160" s="31">
        <f>J160</f>
        <v>8909.9599999999991</v>
      </c>
      <c r="Q160" s="31">
        <f>L160</f>
        <v>15.1620876</v>
      </c>
      <c r="W160">
        <f>IF(Source!BI84&lt;=1,H150+H151+H153+H154+H155, 0)</f>
        <v>340.28999999999996</v>
      </c>
      <c r="X160">
        <f>IF(Source!BI84=2,H150+H151+H153+H154+H155, 0)</f>
        <v>0</v>
      </c>
      <c r="Y160">
        <f>IF(Source!BI84=3,H150+H151+H153+H154+H155, 0)</f>
        <v>0</v>
      </c>
      <c r="Z160">
        <f>IF(Source!BI84=4,H150+H151+H153+H154+H155, 0)</f>
        <v>0</v>
      </c>
    </row>
    <row r="161" spans="1:26" ht="99.75" x14ac:dyDescent="0.2">
      <c r="A161" s="22" t="str">
        <f>Source!E88</f>
        <v>12</v>
      </c>
      <c r="B161" s="52" t="s">
        <v>432</v>
      </c>
      <c r="C161" s="52" t="str">
        <f>Source!G88</f>
        <v>Установка блоков из ПВХ в наружных и внутренних дверных проемах: в каменных стенах площадью проема более 3 м2</v>
      </c>
      <c r="D161" s="36" t="str">
        <f>Source!H88</f>
        <v>100 м2</v>
      </c>
      <c r="E161" s="9">
        <f>Source!I88</f>
        <v>0.04</v>
      </c>
      <c r="F161" s="37">
        <f>Source!AL88+Source!AM88+Source!AO88</f>
        <v>7069.3600000000006</v>
      </c>
      <c r="G161" s="38"/>
      <c r="H161" s="37"/>
      <c r="I161" s="38" t="str">
        <f>Source!BO88</f>
        <v>4й квартал 2020 года (Письмо Минстроя РФ № 44016-ИФ/09 от 02.11.2020 г., Административные здания)</v>
      </c>
      <c r="J161" s="38"/>
      <c r="K161" s="37"/>
      <c r="L161" s="39"/>
      <c r="S161">
        <f>ROUND((Source!FX88/100)*((ROUND(Source!AF88*Source!I88, 2)+ROUND(Source!AE88*Source!I88, 2))), 2)</f>
        <v>54.72</v>
      </c>
      <c r="T161">
        <f>Source!X88</f>
        <v>422.24</v>
      </c>
      <c r="U161">
        <f>ROUND((Source!FY88/100)*((ROUND(Source!AF88*Source!I88, 2)+ROUND(Source!AE88*Source!I88, 2))), 2)</f>
        <v>27.59</v>
      </c>
      <c r="V161">
        <f>Source!Y88</f>
        <v>215.1</v>
      </c>
    </row>
    <row r="162" spans="1:26" x14ac:dyDescent="0.2">
      <c r="C162" s="30" t="str">
        <f>"Объем: "&amp;Source!I88&amp;"=4/"&amp;"100"</f>
        <v>Объем: 0,04=4/100</v>
      </c>
    </row>
    <row r="163" spans="1:26" ht="14.25" x14ac:dyDescent="0.2">
      <c r="A163" s="22"/>
      <c r="B163" s="52"/>
      <c r="C163" s="52" t="s">
        <v>420</v>
      </c>
      <c r="D163" s="36"/>
      <c r="E163" s="9"/>
      <c r="F163" s="37">
        <f>Source!AO88</f>
        <v>1071.26</v>
      </c>
      <c r="G163" s="38" t="str">
        <f>Source!DG88</f>
        <v>)*1,15</v>
      </c>
      <c r="H163" s="37">
        <f>ROUND(Source!AF88*Source!I88, 2)</f>
        <v>49.28</v>
      </c>
      <c r="I163" s="38"/>
      <c r="J163" s="38">
        <f>IF(Source!BA88&lt;&gt; 0, Source!BA88, 1)</f>
        <v>7.73</v>
      </c>
      <c r="K163" s="37">
        <f>Source!S88</f>
        <v>380.92</v>
      </c>
      <c r="L163" s="39"/>
      <c r="R163">
        <f>H163</f>
        <v>49.28</v>
      </c>
    </row>
    <row r="164" spans="1:26" ht="14.25" x14ac:dyDescent="0.2">
      <c r="A164" s="22"/>
      <c r="B164" s="52"/>
      <c r="C164" s="52" t="s">
        <v>76</v>
      </c>
      <c r="D164" s="36"/>
      <c r="E164" s="9"/>
      <c r="F164" s="37">
        <f>Source!AM88</f>
        <v>231.79</v>
      </c>
      <c r="G164" s="38" t="str">
        <f>Source!DE88</f>
        <v>)*1,25</v>
      </c>
      <c r="H164" s="37">
        <f>ROUND(Source!AD88*Source!I88, 2)</f>
        <v>11.59</v>
      </c>
      <c r="I164" s="38"/>
      <c r="J164" s="38">
        <f>IF(Source!BB88&lt;&gt; 0, Source!BB88, 1)</f>
        <v>7.73</v>
      </c>
      <c r="K164" s="37">
        <f>Source!Q88</f>
        <v>89.59</v>
      </c>
      <c r="L164" s="39"/>
    </row>
    <row r="165" spans="1:26" ht="14.25" x14ac:dyDescent="0.2">
      <c r="A165" s="22"/>
      <c r="B165" s="52"/>
      <c r="C165" s="52" t="s">
        <v>426</v>
      </c>
      <c r="D165" s="36"/>
      <c r="E165" s="9"/>
      <c r="F165" s="37">
        <f>Source!AN88</f>
        <v>45.07</v>
      </c>
      <c r="G165" s="38" t="str">
        <f>Source!DF88</f>
        <v>)*1,25</v>
      </c>
      <c r="H165" s="49">
        <f>ROUND(Source!AE88*Source!I88, 2)</f>
        <v>2.25</v>
      </c>
      <c r="I165" s="38"/>
      <c r="J165" s="38">
        <f>IF(Source!BS88&lt;&gt; 0, Source!BS88, 1)</f>
        <v>7.73</v>
      </c>
      <c r="K165" s="49">
        <f>Source!R88</f>
        <v>17.420000000000002</v>
      </c>
      <c r="L165" s="39"/>
      <c r="R165">
        <f>H165</f>
        <v>2.25</v>
      </c>
    </row>
    <row r="166" spans="1:26" ht="14.25" x14ac:dyDescent="0.2">
      <c r="A166" s="22"/>
      <c r="B166" s="52"/>
      <c r="C166" s="52" t="s">
        <v>427</v>
      </c>
      <c r="D166" s="36"/>
      <c r="E166" s="9"/>
      <c r="F166" s="37">
        <f>Source!AL88</f>
        <v>5766.31</v>
      </c>
      <c r="G166" s="38" t="str">
        <f>Source!DD88</f>
        <v/>
      </c>
      <c r="H166" s="37">
        <f>ROUND(Source!AC88*Source!I88, 2)</f>
        <v>230.65</v>
      </c>
      <c r="I166" s="38"/>
      <c r="J166" s="38">
        <f>IF(Source!BC88&lt;&gt; 0, Source!BC88, 1)</f>
        <v>7.73</v>
      </c>
      <c r="K166" s="37">
        <f>Source!P88</f>
        <v>1782.94</v>
      </c>
      <c r="L166" s="39"/>
    </row>
    <row r="167" spans="1:26" ht="14.25" x14ac:dyDescent="0.2">
      <c r="A167" s="22"/>
      <c r="B167" s="52"/>
      <c r="C167" s="52" t="s">
        <v>421</v>
      </c>
      <c r="D167" s="36" t="s">
        <v>422</v>
      </c>
      <c r="E167" s="9">
        <f>Source!BZ88</f>
        <v>118</v>
      </c>
      <c r="F167" s="61" t="str">
        <f>CONCATENATE(" )", Source!DL88, Source!FT88, "=", Source!FX88)</f>
        <v xml:space="preserve"> )*0,9=106,2</v>
      </c>
      <c r="G167" s="68"/>
      <c r="H167" s="37">
        <f>SUM(S161:S170)</f>
        <v>54.72</v>
      </c>
      <c r="I167" s="40"/>
      <c r="J167" s="35">
        <f>Source!AT88</f>
        <v>106</v>
      </c>
      <c r="K167" s="37">
        <f>SUM(T161:T170)</f>
        <v>422.24</v>
      </c>
      <c r="L167" s="39"/>
    </row>
    <row r="168" spans="1:26" ht="14.25" x14ac:dyDescent="0.2">
      <c r="A168" s="22"/>
      <c r="B168" s="52"/>
      <c r="C168" s="52" t="s">
        <v>423</v>
      </c>
      <c r="D168" s="36" t="s">
        <v>422</v>
      </c>
      <c r="E168" s="9">
        <f>Source!CA88</f>
        <v>63</v>
      </c>
      <c r="F168" s="61" t="str">
        <f>CONCATENATE(" )", Source!DM88, Source!FU88, "=", Source!FY88)</f>
        <v xml:space="preserve"> )*0,85=53,55</v>
      </c>
      <c r="G168" s="68"/>
      <c r="H168" s="37">
        <f>SUM(U161:U170)</f>
        <v>27.59</v>
      </c>
      <c r="I168" s="40"/>
      <c r="J168" s="35">
        <f>Source!AU88</f>
        <v>54</v>
      </c>
      <c r="K168" s="37">
        <f>SUM(V161:V170)</f>
        <v>215.1</v>
      </c>
      <c r="L168" s="39"/>
    </row>
    <row r="169" spans="1:26" ht="14.25" x14ac:dyDescent="0.2">
      <c r="A169" s="22"/>
      <c r="B169" s="52"/>
      <c r="C169" s="52" t="s">
        <v>424</v>
      </c>
      <c r="D169" s="36" t="s">
        <v>425</v>
      </c>
      <c r="E169" s="9">
        <f>Source!AQ88</f>
        <v>122.57</v>
      </c>
      <c r="F169" s="37"/>
      <c r="G169" s="38" t="str">
        <f>Source!DI88</f>
        <v>)*1,15</v>
      </c>
      <c r="H169" s="37"/>
      <c r="I169" s="38"/>
      <c r="J169" s="38"/>
      <c r="K169" s="37"/>
      <c r="L169" s="41">
        <f>Source!U88</f>
        <v>5.6382199999999987</v>
      </c>
    </row>
    <row r="170" spans="1:26" ht="71.25" x14ac:dyDescent="0.2">
      <c r="A170" s="53" t="str">
        <f>Source!E89</f>
        <v>12,1</v>
      </c>
      <c r="B170" s="54" t="str">
        <f>Source!F89</f>
        <v>11.3.01.01-0017</v>
      </c>
      <c r="C170" s="54" t="str">
        <f>Source!G89</f>
        <v>Блоки дверные входные пластиковые: с простой коробкой, двупольная с офисной фурнитурой, с двухкамерным стеклопакетом (32 мм), площадь более 3,5 м2</v>
      </c>
      <c r="D170" s="42" t="str">
        <f>Source!H89</f>
        <v>м2</v>
      </c>
      <c r="E170" s="43">
        <f>Source!I89</f>
        <v>4</v>
      </c>
      <c r="F170" s="44">
        <f>Source!AL89+Source!AM89+Source!AO89</f>
        <v>1433.59</v>
      </c>
      <c r="G170" s="45" t="s">
        <v>3</v>
      </c>
      <c r="H170" s="44">
        <f>ROUND(Source!AC89*Source!I89, 2)+ROUND(Source!AD89*Source!I89, 2)+ROUND(Source!AF89*Source!I89, 2)</f>
        <v>5734.36</v>
      </c>
      <c r="I170" s="46"/>
      <c r="J170" s="46">
        <f>IF(Source!BC89&lt;&gt; 0, Source!BC89, 1)</f>
        <v>7.73</v>
      </c>
      <c r="K170" s="44">
        <f>Source!O89</f>
        <v>44326.6</v>
      </c>
      <c r="L170" s="47"/>
      <c r="S170">
        <f>ROUND((Source!FX89/100)*((ROUND(Source!AF89*Source!I89, 2)+ROUND(Source!AE89*Source!I89, 2))), 2)</f>
        <v>0</v>
      </c>
      <c r="T170">
        <f>Source!X89</f>
        <v>0</v>
      </c>
      <c r="U170">
        <f>ROUND((Source!FY89/100)*((ROUND(Source!AF89*Source!I89, 2)+ROUND(Source!AE89*Source!I89, 2))), 2)</f>
        <v>0</v>
      </c>
      <c r="V170">
        <f>Source!Y89</f>
        <v>0</v>
      </c>
      <c r="W170">
        <f>IF(Source!BI89&lt;=1,H170, 0)</f>
        <v>5734.36</v>
      </c>
      <c r="X170">
        <f>IF(Source!BI89=2,H170, 0)</f>
        <v>0</v>
      </c>
      <c r="Y170">
        <f>IF(Source!BI89=3,H170, 0)</f>
        <v>0</v>
      </c>
      <c r="Z170">
        <f>IF(Source!BI89=4,H170, 0)</f>
        <v>0</v>
      </c>
    </row>
    <row r="171" spans="1:26" ht="15" x14ac:dyDescent="0.25">
      <c r="G171" s="62">
        <f>H163+H164+H166+H167+H168+SUM(H170:H170)</f>
        <v>6108.19</v>
      </c>
      <c r="H171" s="62"/>
      <c r="J171" s="62">
        <f>K163+K164+K166+K167+K168+SUM(K170:K170)</f>
        <v>47217.39</v>
      </c>
      <c r="K171" s="62"/>
      <c r="L171" s="48">
        <f>Source!U88</f>
        <v>5.6382199999999987</v>
      </c>
      <c r="O171" s="31">
        <f>G171</f>
        <v>6108.19</v>
      </c>
      <c r="P171" s="31">
        <f>J171</f>
        <v>47217.39</v>
      </c>
      <c r="Q171" s="31">
        <f>L171</f>
        <v>5.6382199999999987</v>
      </c>
      <c r="W171">
        <f>IF(Source!BI88&lt;=1,H163+H164+H166+H167+H168, 0)</f>
        <v>373.83</v>
      </c>
      <c r="X171">
        <f>IF(Source!BI88=2,H163+H164+H166+H167+H168, 0)</f>
        <v>0</v>
      </c>
      <c r="Y171">
        <f>IF(Source!BI88=3,H163+H164+H166+H167+H168, 0)</f>
        <v>0</v>
      </c>
      <c r="Z171">
        <f>IF(Source!BI88=4,H163+H164+H166+H167+H168, 0)</f>
        <v>0</v>
      </c>
    </row>
    <row r="172" spans="1:26" ht="99.75" x14ac:dyDescent="0.2">
      <c r="A172" s="22" t="str">
        <f>Source!E90</f>
        <v>13</v>
      </c>
      <c r="B172" s="52" t="s">
        <v>433</v>
      </c>
      <c r="C172" s="52" t="str">
        <f>Source!G90</f>
        <v>Прим. Установка металлических дверных блоков в готовые проемы</v>
      </c>
      <c r="D172" s="36" t="str">
        <f>Source!H90</f>
        <v>м2</v>
      </c>
      <c r="E172" s="9">
        <f>Source!I90</f>
        <v>17.3</v>
      </c>
      <c r="F172" s="37">
        <f>Source!AL90+Source!AM90+Source!AO90</f>
        <v>63.94</v>
      </c>
      <c r="G172" s="38"/>
      <c r="H172" s="37"/>
      <c r="I172" s="38" t="str">
        <f>Source!BO90</f>
        <v>4й квартал 2020 года (Письмо Минстроя РФ № 44016-ИФ/09 от 02.11.2020 г., Административные здания)</v>
      </c>
      <c r="J172" s="38"/>
      <c r="K172" s="37"/>
      <c r="L172" s="39"/>
      <c r="S172">
        <f>ROUND((Source!FX90/100)*((ROUND(Source!AF90*Source!I90, 2)+ROUND(Source!AE90*Source!I90, 2))), 2)</f>
        <v>418.15</v>
      </c>
      <c r="T172">
        <f>Source!X90</f>
        <v>3232.28</v>
      </c>
      <c r="U172">
        <f>ROUND((Source!FY90/100)*((ROUND(Source!AF90*Source!I90, 2)+ROUND(Source!AE90*Source!I90, 2))), 2)</f>
        <v>372.98</v>
      </c>
      <c r="V172">
        <f>Source!Y90</f>
        <v>2873.14</v>
      </c>
    </row>
    <row r="173" spans="1:26" ht="14.25" x14ac:dyDescent="0.2">
      <c r="A173" s="22"/>
      <c r="B173" s="52"/>
      <c r="C173" s="52" t="s">
        <v>420</v>
      </c>
      <c r="D173" s="36"/>
      <c r="E173" s="9"/>
      <c r="F173" s="37">
        <f>Source!AO90</f>
        <v>23.81</v>
      </c>
      <c r="G173" s="38" t="str">
        <f>Source!DG90</f>
        <v>)*1,15</v>
      </c>
      <c r="H173" s="37">
        <f>ROUND(Source!AF90*Source!I90, 2)</f>
        <v>473.67</v>
      </c>
      <c r="I173" s="38"/>
      <c r="J173" s="38">
        <f>IF(Source!BA90&lt;&gt; 0, Source!BA90, 1)</f>
        <v>7.73</v>
      </c>
      <c r="K173" s="37">
        <f>Source!S90</f>
        <v>3661.5</v>
      </c>
      <c r="L173" s="39"/>
      <c r="R173">
        <f>H173</f>
        <v>473.67</v>
      </c>
    </row>
    <row r="174" spans="1:26" ht="14.25" x14ac:dyDescent="0.2">
      <c r="A174" s="22"/>
      <c r="B174" s="52"/>
      <c r="C174" s="52" t="s">
        <v>76</v>
      </c>
      <c r="D174" s="36"/>
      <c r="E174" s="9"/>
      <c r="F174" s="37">
        <f>Source!AM90</f>
        <v>14.41</v>
      </c>
      <c r="G174" s="38" t="str">
        <f>Source!DE90</f>
        <v>)*1,25</v>
      </c>
      <c r="H174" s="37">
        <f>ROUND(Source!AD90*Source!I90, 2)</f>
        <v>311.57</v>
      </c>
      <c r="I174" s="38"/>
      <c r="J174" s="38">
        <f>IF(Source!BB90&lt;&gt; 0, Source!BB90, 1)</f>
        <v>7.73</v>
      </c>
      <c r="K174" s="37">
        <f>Source!Q90</f>
        <v>2408.46</v>
      </c>
      <c r="L174" s="39"/>
    </row>
    <row r="175" spans="1:26" ht="14.25" x14ac:dyDescent="0.2">
      <c r="A175" s="22"/>
      <c r="B175" s="52"/>
      <c r="C175" s="52" t="s">
        <v>426</v>
      </c>
      <c r="D175" s="36"/>
      <c r="E175" s="9"/>
      <c r="F175" s="37">
        <f>Source!AN90</f>
        <v>1.97</v>
      </c>
      <c r="G175" s="38" t="str">
        <f>Source!DF90</f>
        <v>)*1,25</v>
      </c>
      <c r="H175" s="49">
        <f>ROUND(Source!AE90*Source!I90, 2)</f>
        <v>42.56</v>
      </c>
      <c r="I175" s="38"/>
      <c r="J175" s="38">
        <f>IF(Source!BS90&lt;&gt; 0, Source!BS90, 1)</f>
        <v>7.73</v>
      </c>
      <c r="K175" s="49">
        <f>Source!R90</f>
        <v>328.97</v>
      </c>
      <c r="L175" s="39"/>
      <c r="R175">
        <f>H175</f>
        <v>42.56</v>
      </c>
    </row>
    <row r="176" spans="1:26" ht="14.25" x14ac:dyDescent="0.2">
      <c r="A176" s="22"/>
      <c r="B176" s="52"/>
      <c r="C176" s="52" t="s">
        <v>427</v>
      </c>
      <c r="D176" s="36"/>
      <c r="E176" s="9"/>
      <c r="F176" s="37">
        <f>Source!AL90</f>
        <v>25.72</v>
      </c>
      <c r="G176" s="38" t="str">
        <f>Source!DD90</f>
        <v/>
      </c>
      <c r="H176" s="37">
        <f>ROUND(Source!AC90*Source!I90, 2)</f>
        <v>444.96</v>
      </c>
      <c r="I176" s="38"/>
      <c r="J176" s="38">
        <f>IF(Source!BC90&lt;&gt; 0, Source!BC90, 1)</f>
        <v>7.73</v>
      </c>
      <c r="K176" s="37">
        <f>Source!P90</f>
        <v>3439.51</v>
      </c>
      <c r="L176" s="39"/>
    </row>
    <row r="177" spans="1:26" ht="14.25" x14ac:dyDescent="0.2">
      <c r="A177" s="22"/>
      <c r="B177" s="52"/>
      <c r="C177" s="52" t="s">
        <v>421</v>
      </c>
      <c r="D177" s="36" t="s">
        <v>422</v>
      </c>
      <c r="E177" s="9">
        <f>Source!BZ90</f>
        <v>90</v>
      </c>
      <c r="F177" s="61" t="str">
        <f>CONCATENATE(" )", Source!DL90, Source!FT90, "=", Source!FX90)</f>
        <v xml:space="preserve"> )*0,9=81</v>
      </c>
      <c r="G177" s="68"/>
      <c r="H177" s="37">
        <f>SUM(S172:S181)</f>
        <v>418.15</v>
      </c>
      <c r="I177" s="40"/>
      <c r="J177" s="35">
        <f>Source!AT90</f>
        <v>81</v>
      </c>
      <c r="K177" s="37">
        <f>SUM(T172:T181)</f>
        <v>3232.28</v>
      </c>
      <c r="L177" s="39"/>
    </row>
    <row r="178" spans="1:26" ht="14.25" x14ac:dyDescent="0.2">
      <c r="A178" s="22"/>
      <c r="B178" s="52"/>
      <c r="C178" s="52" t="s">
        <v>423</v>
      </c>
      <c r="D178" s="36" t="s">
        <v>422</v>
      </c>
      <c r="E178" s="9">
        <f>Source!CA90</f>
        <v>85</v>
      </c>
      <c r="F178" s="61" t="str">
        <f>CONCATENATE(" )", Source!DM90, Source!FU90, "=", Source!FY90)</f>
        <v xml:space="preserve"> )*0,85=72,25</v>
      </c>
      <c r="G178" s="68"/>
      <c r="H178" s="37">
        <f>SUM(U172:U181)</f>
        <v>372.98</v>
      </c>
      <c r="I178" s="40"/>
      <c r="J178" s="35">
        <f>Source!AU90</f>
        <v>72</v>
      </c>
      <c r="K178" s="37">
        <f>SUM(V172:V181)</f>
        <v>2873.14</v>
      </c>
      <c r="L178" s="39"/>
    </row>
    <row r="179" spans="1:26" ht="14.25" x14ac:dyDescent="0.2">
      <c r="A179" s="22"/>
      <c r="B179" s="52"/>
      <c r="C179" s="52" t="s">
        <v>424</v>
      </c>
      <c r="D179" s="36" t="s">
        <v>425</v>
      </c>
      <c r="E179" s="9">
        <f>Source!AQ90</f>
        <v>2.4</v>
      </c>
      <c r="F179" s="37"/>
      <c r="G179" s="38" t="str">
        <f>Source!DI90</f>
        <v>)*1,15</v>
      </c>
      <c r="H179" s="37"/>
      <c r="I179" s="38"/>
      <c r="J179" s="38"/>
      <c r="K179" s="37"/>
      <c r="L179" s="41">
        <f>Source!U90</f>
        <v>47.747999999999998</v>
      </c>
    </row>
    <row r="180" spans="1:26" ht="57" x14ac:dyDescent="0.2">
      <c r="A180" s="22" t="str">
        <f>Source!E91</f>
        <v>13,1</v>
      </c>
      <c r="B180" s="52" t="str">
        <f>Source!F91</f>
        <v>01.7.04.07-0031</v>
      </c>
      <c r="C180" s="52" t="str">
        <f>Source!G91</f>
        <v>Комплект скобяных изделий для отдельных полотен двупольных входных дверей при заполнении отдельными элементами в здание</v>
      </c>
      <c r="D180" s="36" t="str">
        <f>Source!H91</f>
        <v>КОМПЛ</v>
      </c>
      <c r="E180" s="9">
        <f>Source!I91</f>
        <v>2</v>
      </c>
      <c r="F180" s="37">
        <f>Source!AL91+Source!AM91+Source!AO91</f>
        <v>240.79</v>
      </c>
      <c r="G180" s="50" t="s">
        <v>3</v>
      </c>
      <c r="H180" s="37">
        <f>ROUND(Source!AC91*Source!I91, 2)+ROUND(Source!AD91*Source!I91, 2)+ROUND(Source!AF91*Source!I91, 2)</f>
        <v>481.58</v>
      </c>
      <c r="I180" s="38"/>
      <c r="J180" s="38">
        <f>IF(Source!BC91&lt;&gt; 0, Source!BC91, 1)</f>
        <v>7.73</v>
      </c>
      <c r="K180" s="37">
        <f>Source!O91</f>
        <v>3722.61</v>
      </c>
      <c r="L180" s="39"/>
      <c r="S180">
        <f>ROUND((Source!FX91/100)*((ROUND(Source!AF91*Source!I91, 2)+ROUND(Source!AE91*Source!I91, 2))), 2)</f>
        <v>0</v>
      </c>
      <c r="T180">
        <f>Source!X91</f>
        <v>0</v>
      </c>
      <c r="U180">
        <f>ROUND((Source!FY91/100)*((ROUND(Source!AF91*Source!I91, 2)+ROUND(Source!AE91*Source!I91, 2))), 2)</f>
        <v>0</v>
      </c>
      <c r="V180">
        <f>Source!Y91</f>
        <v>0</v>
      </c>
      <c r="W180">
        <f>IF(Source!BI91&lt;=1,H180, 0)</f>
        <v>481.58</v>
      </c>
      <c r="X180">
        <f>IF(Source!BI91=2,H180, 0)</f>
        <v>0</v>
      </c>
      <c r="Y180">
        <f>IF(Source!BI91=3,H180, 0)</f>
        <v>0</v>
      </c>
      <c r="Z180">
        <f>IF(Source!BI91=4,H180, 0)</f>
        <v>0</v>
      </c>
    </row>
    <row r="181" spans="1:26" ht="42.75" x14ac:dyDescent="0.2">
      <c r="A181" s="53" t="str">
        <f>Source!E92</f>
        <v>13,2</v>
      </c>
      <c r="B181" s="54" t="str">
        <f>Source!F92</f>
        <v>09.4.02.03-1000</v>
      </c>
      <c r="C181" s="54" t="str">
        <f>Source!G92</f>
        <v>Прим. Блок дверной из алюминиевого профиля распашной с одинарным остеклением, площадь свыше 2,5 м2</v>
      </c>
      <c r="D181" s="42" t="str">
        <f>Source!H92</f>
        <v>м2</v>
      </c>
      <c r="E181" s="43">
        <f>Source!I92</f>
        <v>17.3</v>
      </c>
      <c r="F181" s="44">
        <f>Source!AL92+Source!AM92+Source!AO92</f>
        <v>841.03</v>
      </c>
      <c r="G181" s="45" t="s">
        <v>3</v>
      </c>
      <c r="H181" s="44">
        <f>ROUND(Source!AC92*Source!I92, 2)+ROUND(Source!AD92*Source!I92, 2)+ROUND(Source!AF92*Source!I92, 2)</f>
        <v>14549.82</v>
      </c>
      <c r="I181" s="46"/>
      <c r="J181" s="46">
        <f>IF(Source!BC92&lt;&gt; 0, Source!BC92, 1)</f>
        <v>7.73</v>
      </c>
      <c r="K181" s="44">
        <f>Source!O92</f>
        <v>112470.1</v>
      </c>
      <c r="L181" s="47"/>
      <c r="S181">
        <f>ROUND((Source!FX92/100)*((ROUND(Source!AF92*Source!I92, 2)+ROUND(Source!AE92*Source!I92, 2))), 2)</f>
        <v>0</v>
      </c>
      <c r="T181">
        <f>Source!X92</f>
        <v>0</v>
      </c>
      <c r="U181">
        <f>ROUND((Source!FY92/100)*((ROUND(Source!AF92*Source!I92, 2)+ROUND(Source!AE92*Source!I92, 2))), 2)</f>
        <v>0</v>
      </c>
      <c r="V181">
        <f>Source!Y92</f>
        <v>0</v>
      </c>
      <c r="W181">
        <f>IF(Source!BI92&lt;=1,H181, 0)</f>
        <v>14549.82</v>
      </c>
      <c r="X181">
        <f>IF(Source!BI92=2,H181, 0)</f>
        <v>0</v>
      </c>
      <c r="Y181">
        <f>IF(Source!BI92=3,H181, 0)</f>
        <v>0</v>
      </c>
      <c r="Z181">
        <f>IF(Source!BI92=4,H181, 0)</f>
        <v>0</v>
      </c>
    </row>
    <row r="182" spans="1:26" ht="15" x14ac:dyDescent="0.25">
      <c r="G182" s="62">
        <f>H173+H174+H176+H177+H178+SUM(H180:H181)</f>
        <v>17052.73</v>
      </c>
      <c r="H182" s="62"/>
      <c r="J182" s="62">
        <f>K173+K174+K176+K177+K178+SUM(K180:K181)</f>
        <v>131807.6</v>
      </c>
      <c r="K182" s="62"/>
      <c r="L182" s="48">
        <f>Source!U90</f>
        <v>47.747999999999998</v>
      </c>
      <c r="O182" s="31">
        <f>G182</f>
        <v>17052.73</v>
      </c>
      <c r="P182" s="31">
        <f>J182</f>
        <v>131807.6</v>
      </c>
      <c r="Q182" s="31">
        <f>L182</f>
        <v>47.747999999999998</v>
      </c>
      <c r="W182">
        <f>IF(Source!BI90&lt;=1,H173+H174+H176+H177+H178, 0)</f>
        <v>2021.33</v>
      </c>
      <c r="X182">
        <f>IF(Source!BI90=2,H173+H174+H176+H177+H178, 0)</f>
        <v>0</v>
      </c>
      <c r="Y182">
        <f>IF(Source!BI90=3,H173+H174+H176+H177+H178, 0)</f>
        <v>0</v>
      </c>
      <c r="Z182">
        <f>IF(Source!BI90=4,H173+H174+H176+H177+H178, 0)</f>
        <v>0</v>
      </c>
    </row>
    <row r="183" spans="1:26" ht="99.75" x14ac:dyDescent="0.2">
      <c r="A183" s="22" t="str">
        <f>Source!E93</f>
        <v>14</v>
      </c>
      <c r="B183" s="52" t="s">
        <v>434</v>
      </c>
      <c r="C183" s="52" t="str">
        <f>Source!G93</f>
        <v>Установка дверного доводчика к металлическим дверям</v>
      </c>
      <c r="D183" s="36" t="str">
        <f>Source!H93</f>
        <v>ШТ</v>
      </c>
      <c r="E183" s="9">
        <f>Source!I93</f>
        <v>4</v>
      </c>
      <c r="F183" s="37">
        <f>Source!AL93+Source!AM93+Source!AO93</f>
        <v>15.44</v>
      </c>
      <c r="G183" s="38"/>
      <c r="H183" s="37"/>
      <c r="I183" s="38" t="str">
        <f>Source!BO93</f>
        <v>4й квартал 2020 года (Письмо Минстроя РФ № 44016-ИФ/09 от 02.11.2020 г., Административные здания)</v>
      </c>
      <c r="J183" s="38"/>
      <c r="K183" s="37"/>
      <c r="L183" s="39"/>
      <c r="S183">
        <f>ROUND((Source!FX93/100)*((ROUND(Source!AF93*Source!I93, 2)+ROUND(Source!AE93*Source!I93, 2))), 2)</f>
        <v>41.02</v>
      </c>
      <c r="T183">
        <f>Source!X93</f>
        <v>317.07</v>
      </c>
      <c r="U183">
        <f>ROUND((Source!FY93/100)*((ROUND(Source!AF93*Source!I93, 2)+ROUND(Source!AE93*Source!I93, 2))), 2)</f>
        <v>36.590000000000003</v>
      </c>
      <c r="V183">
        <f>Source!Y93</f>
        <v>281.83999999999997</v>
      </c>
    </row>
    <row r="184" spans="1:26" ht="14.25" x14ac:dyDescent="0.2">
      <c r="A184" s="22"/>
      <c r="B184" s="52"/>
      <c r="C184" s="52" t="s">
        <v>420</v>
      </c>
      <c r="D184" s="36"/>
      <c r="E184" s="9"/>
      <c r="F184" s="37">
        <f>Source!AO93</f>
        <v>11.01</v>
      </c>
      <c r="G184" s="38" t="str">
        <f>Source!DG93</f>
        <v>)*1,15</v>
      </c>
      <c r="H184" s="37">
        <f>ROUND(Source!AF93*Source!I93, 2)</f>
        <v>50.64</v>
      </c>
      <c r="I184" s="38"/>
      <c r="J184" s="38">
        <f>IF(Source!BA93&lt;&gt; 0, Source!BA93, 1)</f>
        <v>7.73</v>
      </c>
      <c r="K184" s="37">
        <f>Source!S93</f>
        <v>391.45</v>
      </c>
      <c r="L184" s="39"/>
      <c r="R184">
        <f>H184</f>
        <v>50.64</v>
      </c>
    </row>
    <row r="185" spans="1:26" ht="14.25" x14ac:dyDescent="0.2">
      <c r="A185" s="22"/>
      <c r="B185" s="52"/>
      <c r="C185" s="52" t="s">
        <v>76</v>
      </c>
      <c r="D185" s="36"/>
      <c r="E185" s="9"/>
      <c r="F185" s="37">
        <f>Source!AM93</f>
        <v>2.11</v>
      </c>
      <c r="G185" s="38" t="str">
        <f>Source!DE93</f>
        <v>)*1,25</v>
      </c>
      <c r="H185" s="37">
        <f>ROUND(Source!AD93*Source!I93, 2)</f>
        <v>10.56</v>
      </c>
      <c r="I185" s="38"/>
      <c r="J185" s="38">
        <f>IF(Source!BB93&lt;&gt; 0, Source!BB93, 1)</f>
        <v>7.73</v>
      </c>
      <c r="K185" s="37">
        <f>Source!Q93</f>
        <v>81.63</v>
      </c>
      <c r="L185" s="39"/>
    </row>
    <row r="186" spans="1:26" ht="14.25" x14ac:dyDescent="0.2">
      <c r="A186" s="22"/>
      <c r="B186" s="52"/>
      <c r="C186" s="52" t="s">
        <v>427</v>
      </c>
      <c r="D186" s="36"/>
      <c r="E186" s="9"/>
      <c r="F186" s="37">
        <f>Source!AL93</f>
        <v>2.3199999999999998</v>
      </c>
      <c r="G186" s="38" t="str">
        <f>Source!DD93</f>
        <v/>
      </c>
      <c r="H186" s="37">
        <f>ROUND(Source!AC93*Source!I93, 2)</f>
        <v>9.2799999999999994</v>
      </c>
      <c r="I186" s="38"/>
      <c r="J186" s="38">
        <f>IF(Source!BC93&lt;&gt; 0, Source!BC93, 1)</f>
        <v>7.73</v>
      </c>
      <c r="K186" s="37">
        <f>Source!P93</f>
        <v>71.73</v>
      </c>
      <c r="L186" s="39"/>
    </row>
    <row r="187" spans="1:26" ht="14.25" x14ac:dyDescent="0.2">
      <c r="A187" s="22"/>
      <c r="B187" s="52"/>
      <c r="C187" s="52" t="s">
        <v>421</v>
      </c>
      <c r="D187" s="36" t="s">
        <v>422</v>
      </c>
      <c r="E187" s="9">
        <f>Source!BZ93</f>
        <v>90</v>
      </c>
      <c r="F187" s="61" t="str">
        <f>CONCATENATE(" )", Source!DL93, Source!FT93, "=", Source!FX93)</f>
        <v xml:space="preserve"> )*0,9=81</v>
      </c>
      <c r="G187" s="68"/>
      <c r="H187" s="37">
        <f>SUM(S183:S190)</f>
        <v>41.02</v>
      </c>
      <c r="I187" s="40"/>
      <c r="J187" s="35">
        <f>Source!AT93</f>
        <v>81</v>
      </c>
      <c r="K187" s="37">
        <f>SUM(T183:T190)</f>
        <v>317.07</v>
      </c>
      <c r="L187" s="39"/>
    </row>
    <row r="188" spans="1:26" ht="14.25" x14ac:dyDescent="0.2">
      <c r="A188" s="22"/>
      <c r="B188" s="52"/>
      <c r="C188" s="52" t="s">
        <v>423</v>
      </c>
      <c r="D188" s="36" t="s">
        <v>422</v>
      </c>
      <c r="E188" s="9">
        <f>Source!CA93</f>
        <v>85</v>
      </c>
      <c r="F188" s="61" t="str">
        <f>CONCATENATE(" )", Source!DM93, Source!FU93, "=", Source!FY93)</f>
        <v xml:space="preserve"> )*0,85=72,25</v>
      </c>
      <c r="G188" s="68"/>
      <c r="H188" s="37">
        <f>SUM(U183:U190)</f>
        <v>36.590000000000003</v>
      </c>
      <c r="I188" s="40"/>
      <c r="J188" s="35">
        <f>Source!AU93</f>
        <v>72</v>
      </c>
      <c r="K188" s="37">
        <f>SUM(V183:V190)</f>
        <v>281.83999999999997</v>
      </c>
      <c r="L188" s="39"/>
    </row>
    <row r="189" spans="1:26" ht="14.25" x14ac:dyDescent="0.2">
      <c r="A189" s="22"/>
      <c r="B189" s="52"/>
      <c r="C189" s="52" t="s">
        <v>424</v>
      </c>
      <c r="D189" s="36" t="s">
        <v>425</v>
      </c>
      <c r="E189" s="9">
        <f>Source!AQ93</f>
        <v>1.1100000000000001</v>
      </c>
      <c r="F189" s="37"/>
      <c r="G189" s="38" t="str">
        <f>Source!DI93</f>
        <v>)*1,15</v>
      </c>
      <c r="H189" s="37"/>
      <c r="I189" s="38"/>
      <c r="J189" s="38"/>
      <c r="K189" s="37"/>
      <c r="L189" s="41">
        <f>Source!U93</f>
        <v>5.1059999999999999</v>
      </c>
    </row>
    <row r="190" spans="1:26" ht="28.5" x14ac:dyDescent="0.2">
      <c r="A190" s="53" t="str">
        <f>Source!E94</f>
        <v>14,1</v>
      </c>
      <c r="B190" s="54" t="str">
        <f>Source!F94</f>
        <v>01.7.04.01-0001</v>
      </c>
      <c r="C190" s="54" t="str">
        <f>Source!G94</f>
        <v>Доводчик дверной DS 73 BC "Серия Premium", усилие закрывания EN2-5</v>
      </c>
      <c r="D190" s="42" t="str">
        <f>Source!H94</f>
        <v>ШТ</v>
      </c>
      <c r="E190" s="43">
        <f>Source!I94</f>
        <v>4</v>
      </c>
      <c r="F190" s="44">
        <f>Source!AL94+Source!AM94+Source!AO94</f>
        <v>371.2</v>
      </c>
      <c r="G190" s="45" t="s">
        <v>3</v>
      </c>
      <c r="H190" s="44">
        <f>ROUND(Source!AC94*Source!I94, 2)+ROUND(Source!AD94*Source!I94, 2)+ROUND(Source!AF94*Source!I94, 2)</f>
        <v>1484.8</v>
      </c>
      <c r="I190" s="46"/>
      <c r="J190" s="46">
        <f>IF(Source!BC94&lt;&gt; 0, Source!BC94, 1)</f>
        <v>7.73</v>
      </c>
      <c r="K190" s="44">
        <f>Source!O94</f>
        <v>11477.5</v>
      </c>
      <c r="L190" s="47"/>
      <c r="S190">
        <f>ROUND((Source!FX94/100)*((ROUND(Source!AF94*Source!I94, 2)+ROUND(Source!AE94*Source!I94, 2))), 2)</f>
        <v>0</v>
      </c>
      <c r="T190">
        <f>Source!X94</f>
        <v>0</v>
      </c>
      <c r="U190">
        <f>ROUND((Source!FY94/100)*((ROUND(Source!AF94*Source!I94, 2)+ROUND(Source!AE94*Source!I94, 2))), 2)</f>
        <v>0</v>
      </c>
      <c r="V190">
        <f>Source!Y94</f>
        <v>0</v>
      </c>
      <c r="W190">
        <f>IF(Source!BI94&lt;=1,H190, 0)</f>
        <v>1484.8</v>
      </c>
      <c r="X190">
        <f>IF(Source!BI94=2,H190, 0)</f>
        <v>0</v>
      </c>
      <c r="Y190">
        <f>IF(Source!BI94=3,H190, 0)</f>
        <v>0</v>
      </c>
      <c r="Z190">
        <f>IF(Source!BI94=4,H190, 0)</f>
        <v>0</v>
      </c>
    </row>
    <row r="191" spans="1:26" ht="15" x14ac:dyDescent="0.25">
      <c r="G191" s="62">
        <f>H184+H185+H186+H187+H188+SUM(H190:H190)</f>
        <v>1632.8899999999999</v>
      </c>
      <c r="H191" s="62"/>
      <c r="J191" s="62">
        <f>K184+K185+K186+K187+K188+SUM(K190:K190)</f>
        <v>12621.22</v>
      </c>
      <c r="K191" s="62"/>
      <c r="L191" s="48">
        <f>Source!U93</f>
        <v>5.1059999999999999</v>
      </c>
      <c r="O191" s="31">
        <f>G191</f>
        <v>1632.8899999999999</v>
      </c>
      <c r="P191" s="31">
        <f>J191</f>
        <v>12621.22</v>
      </c>
      <c r="Q191" s="31">
        <f>L191</f>
        <v>5.1059999999999999</v>
      </c>
      <c r="W191">
        <f>IF(Source!BI93&lt;=1,H184+H185+H186+H187+H188, 0)</f>
        <v>148.09</v>
      </c>
      <c r="X191">
        <f>IF(Source!BI93=2,H184+H185+H186+H187+H188, 0)</f>
        <v>0</v>
      </c>
      <c r="Y191">
        <f>IF(Source!BI93=3,H184+H185+H186+H187+H188, 0)</f>
        <v>0</v>
      </c>
      <c r="Z191">
        <f>IF(Source!BI93=4,H184+H185+H186+H187+H188, 0)</f>
        <v>0</v>
      </c>
    </row>
    <row r="193" spans="1:32" ht="15" x14ac:dyDescent="0.25">
      <c r="A193" s="67" t="str">
        <f>CONCATENATE("Итого по разделу: ",IF(Source!G96&lt;&gt;"Новый раздел", Source!G96, ""))</f>
        <v>Итого по разделу: Ремонтно-строительные работы</v>
      </c>
      <c r="B193" s="67"/>
      <c r="C193" s="67"/>
      <c r="D193" s="67"/>
      <c r="E193" s="67"/>
      <c r="F193" s="67"/>
      <c r="G193" s="66">
        <f>SUM(O111:O192)</f>
        <v>99750.38</v>
      </c>
      <c r="H193" s="66"/>
      <c r="I193" s="34"/>
      <c r="J193" s="66">
        <f>SUM(P111:P192)</f>
        <v>771087.77999999991</v>
      </c>
      <c r="K193" s="66"/>
      <c r="L193" s="48">
        <f>SUM(Q111:Q192)</f>
        <v>184.22956459999997</v>
      </c>
      <c r="AF193" s="57" t="str">
        <f>CONCATENATE("Итого по разделу: ",IF(Source!G96&lt;&gt;"Новый раздел", Source!G96, ""))</f>
        <v>Итого по разделу: Ремонтно-строительные работы</v>
      </c>
    </row>
    <row r="196" spans="1:32" ht="14.25" x14ac:dyDescent="0.2">
      <c r="C196" s="63" t="str">
        <f>Source!H98</f>
        <v>Прямые затраты</v>
      </c>
      <c r="D196" s="63"/>
      <c r="E196" s="63"/>
      <c r="F196" s="63"/>
      <c r="G196" s="63"/>
      <c r="H196" s="63"/>
      <c r="I196" s="63"/>
      <c r="J196" s="64">
        <f>IF(Source!F98=0, "", Source!F98)</f>
        <v>749794.97</v>
      </c>
      <c r="K196" s="64"/>
    </row>
    <row r="197" spans="1:32" ht="14.25" x14ac:dyDescent="0.2">
      <c r="C197" s="63" t="str">
        <f>Source!H99</f>
        <v>Стоимость материальных ресурсов</v>
      </c>
      <c r="D197" s="63"/>
      <c r="E197" s="63"/>
      <c r="F197" s="63"/>
      <c r="G197" s="63"/>
      <c r="H197" s="63"/>
      <c r="I197" s="63"/>
      <c r="J197" s="64">
        <f>IF(Source!F99=0, "", Source!F99)</f>
        <v>732716</v>
      </c>
      <c r="K197" s="64"/>
    </row>
    <row r="198" spans="1:32" ht="14.25" x14ac:dyDescent="0.2">
      <c r="C198" s="63" t="str">
        <f>Source!H102</f>
        <v>Стоимость материалов</v>
      </c>
      <c r="D198" s="63"/>
      <c r="E198" s="63"/>
      <c r="F198" s="63"/>
      <c r="G198" s="63"/>
      <c r="H198" s="63"/>
      <c r="I198" s="63"/>
      <c r="J198" s="64">
        <f>IF(Source!F102=0, "", Source!F102)</f>
        <v>732716</v>
      </c>
      <c r="K198" s="64"/>
    </row>
    <row r="199" spans="1:32" ht="14.25" x14ac:dyDescent="0.2">
      <c r="C199" s="63" t="str">
        <f>Source!H108</f>
        <v>Эксплуатация машин</v>
      </c>
      <c r="D199" s="63"/>
      <c r="E199" s="63"/>
      <c r="F199" s="63"/>
      <c r="G199" s="63"/>
      <c r="H199" s="63"/>
      <c r="I199" s="63"/>
      <c r="J199" s="64">
        <f>IF(Source!F108=0, "", Source!F108)</f>
        <v>4101.5</v>
      </c>
      <c r="K199" s="64"/>
    </row>
    <row r="200" spans="1:32" ht="14.25" x14ac:dyDescent="0.2">
      <c r="C200" s="63" t="str">
        <f>Source!H110</f>
        <v>ЗП машинистов</v>
      </c>
      <c r="D200" s="63"/>
      <c r="E200" s="63"/>
      <c r="F200" s="63"/>
      <c r="G200" s="63"/>
      <c r="H200" s="63"/>
      <c r="I200" s="63"/>
      <c r="J200" s="64">
        <f>IF(Source!F110=0, "", Source!F110)</f>
        <v>649.03</v>
      </c>
      <c r="K200" s="64"/>
    </row>
    <row r="201" spans="1:32" ht="14.25" x14ac:dyDescent="0.2">
      <c r="C201" s="63" t="str">
        <f>Source!H111</f>
        <v>Основная ЗП рабочих</v>
      </c>
      <c r="D201" s="63"/>
      <c r="E201" s="63"/>
      <c r="F201" s="63"/>
      <c r="G201" s="63"/>
      <c r="H201" s="63"/>
      <c r="I201" s="63"/>
      <c r="J201" s="64">
        <f>IF(Source!F111=0, "", Source!F111)</f>
        <v>12977.47</v>
      </c>
      <c r="K201" s="64"/>
    </row>
    <row r="202" spans="1:32" ht="14.25" x14ac:dyDescent="0.2">
      <c r="C202" s="63" t="str">
        <f>Source!H113</f>
        <v>Строительные работы с НР и СП</v>
      </c>
      <c r="D202" s="63"/>
      <c r="E202" s="63"/>
      <c r="F202" s="63"/>
      <c r="G202" s="63"/>
      <c r="H202" s="63"/>
      <c r="I202" s="63"/>
      <c r="J202" s="64">
        <f>IF(Source!F113=0, "", Source!F113)</f>
        <v>771087.78</v>
      </c>
      <c r="K202" s="64"/>
    </row>
    <row r="203" spans="1:32" ht="14.25" x14ac:dyDescent="0.2">
      <c r="C203" s="63" t="str">
        <f>Source!H118</f>
        <v>Трудозатраты строителей</v>
      </c>
      <c r="D203" s="63"/>
      <c r="E203" s="63"/>
      <c r="F203" s="63"/>
      <c r="G203" s="63"/>
      <c r="H203" s="63"/>
      <c r="I203" s="63"/>
      <c r="J203" s="64">
        <f>IF(Source!F118=0, "", Source!F118)</f>
        <v>184.23</v>
      </c>
      <c r="K203" s="64"/>
    </row>
    <row r="204" spans="1:32" ht="14.25" x14ac:dyDescent="0.2">
      <c r="C204" s="63" t="str">
        <f>Source!H119</f>
        <v>Трудозатраты машинистов</v>
      </c>
      <c r="D204" s="63"/>
      <c r="E204" s="63"/>
      <c r="F204" s="63"/>
      <c r="G204" s="63"/>
      <c r="H204" s="63"/>
      <c r="I204" s="63"/>
      <c r="J204" s="64">
        <f>IF(Source!F119=0, "", Source!F119)</f>
        <v>7.15</v>
      </c>
      <c r="K204" s="64"/>
    </row>
    <row r="205" spans="1:32" ht="14.25" x14ac:dyDescent="0.2">
      <c r="C205" s="63" t="str">
        <f>Source!H122</f>
        <v>Накладные расходы</v>
      </c>
      <c r="D205" s="63"/>
      <c r="E205" s="63"/>
      <c r="F205" s="63"/>
      <c r="G205" s="63"/>
      <c r="H205" s="63"/>
      <c r="I205" s="63"/>
      <c r="J205" s="64">
        <f>IF(Source!F122=0, "", Source!F122)</f>
        <v>13213.9</v>
      </c>
      <c r="K205" s="64"/>
    </row>
    <row r="206" spans="1:32" ht="14.25" x14ac:dyDescent="0.2">
      <c r="C206" s="63" t="str">
        <f>Source!H123</f>
        <v>Сметная прибыль</v>
      </c>
      <c r="D206" s="63"/>
      <c r="E206" s="63"/>
      <c r="F206" s="63"/>
      <c r="G206" s="63"/>
      <c r="H206" s="63"/>
      <c r="I206" s="63"/>
      <c r="J206" s="64">
        <f>IF(Source!F123=0, "", Source!F123)</f>
        <v>8078.91</v>
      </c>
      <c r="K206" s="64"/>
    </row>
    <row r="207" spans="1:32" ht="14.25" x14ac:dyDescent="0.2">
      <c r="C207" s="63" t="str">
        <f>Source!H124</f>
        <v>Всего с НР и СП</v>
      </c>
      <c r="D207" s="63"/>
      <c r="E207" s="63"/>
      <c r="F207" s="63"/>
      <c r="G207" s="63"/>
      <c r="H207" s="63"/>
      <c r="I207" s="63"/>
      <c r="J207" s="64">
        <f>IF(Source!F124=0, "", Source!F124)</f>
        <v>771087.78</v>
      </c>
      <c r="K207" s="64"/>
    </row>
    <row r="209" spans="1:32" ht="16.5" x14ac:dyDescent="0.25">
      <c r="A209" s="65" t="str">
        <f>CONCATENATE("Раздел: ",IF(Source!G126&lt;&gt;"Новый раздел", Source!G126, ""))</f>
        <v>Раздел: Вывоз мусора</v>
      </c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</row>
    <row r="210" spans="1:32" ht="99.75" x14ac:dyDescent="0.2">
      <c r="A210" s="53" t="str">
        <f>Source!E130</f>
        <v>15</v>
      </c>
      <c r="B210" s="54" t="str">
        <f>Source!F130</f>
        <v>т01-01-01-041</v>
      </c>
      <c r="C210" s="54" t="str">
        <f>Source!G130</f>
        <v>Погрузочные работы при автомобильных перевозках мусора строительного с погрузкой вручную</v>
      </c>
      <c r="D210" s="42" t="str">
        <f>Source!H130</f>
        <v>1 Т ГРУЗА</v>
      </c>
      <c r="E210" s="43">
        <f>Source!I130</f>
        <v>4.37</v>
      </c>
      <c r="F210" s="44">
        <f>Source!AK130</f>
        <v>42.98</v>
      </c>
      <c r="G210" s="46" t="str">
        <f>Source!DC130</f>
        <v/>
      </c>
      <c r="H210" s="44">
        <f>ROUND(Source!AB130*Source!I130, 2)</f>
        <v>187.82</v>
      </c>
      <c r="I210" s="46" t="str">
        <f>Source!BO130</f>
        <v>4й квартал 2020 года (Письмо Минстроя РФ № 44016-ИФ/09 от 02.11.2020 г., Административные здания)</v>
      </c>
      <c r="J210" s="46">
        <f>Source!AZ130</f>
        <v>7.73</v>
      </c>
      <c r="K210" s="44">
        <f>Source!GM130</f>
        <v>1451.87</v>
      </c>
      <c r="L210" s="47"/>
      <c r="S210">
        <f>ROUND((Source!FX130/100)*((ROUND(0*Source!I130, 2)+ROUND(0*Source!I130, 2))), 2)</f>
        <v>0</v>
      </c>
      <c r="T210">
        <f>Source!X130</f>
        <v>0</v>
      </c>
      <c r="U210">
        <f>ROUND((Source!FY130/100)*((ROUND(0*Source!I130, 2)+ROUND(0*Source!I130, 2))), 2)</f>
        <v>0</v>
      </c>
      <c r="V210">
        <f>Source!Y130</f>
        <v>0</v>
      </c>
    </row>
    <row r="211" spans="1:32" ht="15" x14ac:dyDescent="0.25">
      <c r="G211" s="62">
        <f>H210</f>
        <v>187.82</v>
      </c>
      <c r="H211" s="62"/>
      <c r="J211" s="62">
        <f>K210</f>
        <v>1451.87</v>
      </c>
      <c r="K211" s="62"/>
      <c r="L211" s="48">
        <f>Source!U130</f>
        <v>0</v>
      </c>
      <c r="O211" s="31">
        <f>G211</f>
        <v>187.82</v>
      </c>
      <c r="P211" s="31">
        <f>J211</f>
        <v>1451.87</v>
      </c>
      <c r="Q211" s="31">
        <f>L211</f>
        <v>0</v>
      </c>
      <c r="W211">
        <f>IF(Source!BI130&lt;=1,H210, 0)</f>
        <v>187.82</v>
      </c>
      <c r="X211">
        <f>IF(Source!BI130=2,H210, 0)</f>
        <v>0</v>
      </c>
      <c r="Y211">
        <f>IF(Source!BI130=3,H210, 0)</f>
        <v>0</v>
      </c>
      <c r="Z211">
        <f>IF(Source!BI130=4,H210, 0)</f>
        <v>0</v>
      </c>
    </row>
    <row r="212" spans="1:32" ht="99.75" x14ac:dyDescent="0.2">
      <c r="A212" s="53" t="str">
        <f>Source!E131</f>
        <v>16</v>
      </c>
      <c r="B212" s="54" t="str">
        <f>Source!F131</f>
        <v>т03-21-01-045</v>
      </c>
      <c r="C212" s="54" t="str">
        <f>Source!G131</f>
        <v>Перевозка грузов I класса автомобилями-самосвалами грузоподъемностью 10 т работающих вне карьера на расстояние: до 45 км</v>
      </c>
      <c r="D212" s="42" t="str">
        <f>Source!H131</f>
        <v>1 Т ГРУЗА</v>
      </c>
      <c r="E212" s="43">
        <f>Source!I131</f>
        <v>4.37</v>
      </c>
      <c r="F212" s="44">
        <f>Source!AK131</f>
        <v>25.19</v>
      </c>
      <c r="G212" s="46" t="str">
        <f>Source!DC131</f>
        <v/>
      </c>
      <c r="H212" s="44">
        <f>ROUND(Source!AB131*Source!I131, 2)</f>
        <v>110.08</v>
      </c>
      <c r="I212" s="46" t="str">
        <f>Source!BO131</f>
        <v>4й квартал 2020 года (Письмо Минстроя РФ № 44016-ИФ/09 от 02.11.2020 г., Административные здания)</v>
      </c>
      <c r="J212" s="46">
        <f>Source!AZ131</f>
        <v>7.73</v>
      </c>
      <c r="K212" s="44">
        <f>Source!GM131</f>
        <v>850.92</v>
      </c>
      <c r="L212" s="47"/>
      <c r="S212">
        <f>ROUND((Source!FX131/100)*((ROUND(0*Source!I131, 2)+ROUND(0*Source!I131, 2))), 2)</f>
        <v>0</v>
      </c>
      <c r="T212">
        <f>Source!X131</f>
        <v>0</v>
      </c>
      <c r="U212">
        <f>ROUND((Source!FY131/100)*((ROUND(0*Source!I131, 2)+ROUND(0*Source!I131, 2))), 2)</f>
        <v>0</v>
      </c>
      <c r="V212">
        <f>Source!Y131</f>
        <v>0</v>
      </c>
    </row>
    <row r="213" spans="1:32" ht="15" x14ac:dyDescent="0.25">
      <c r="G213" s="62">
        <f>H212</f>
        <v>110.08</v>
      </c>
      <c r="H213" s="62"/>
      <c r="J213" s="62">
        <f>K212</f>
        <v>850.92</v>
      </c>
      <c r="K213" s="62"/>
      <c r="L213" s="48">
        <f>Source!U131</f>
        <v>0</v>
      </c>
      <c r="O213" s="31">
        <f>G213</f>
        <v>110.08</v>
      </c>
      <c r="P213" s="31">
        <f>J213</f>
        <v>850.92</v>
      </c>
      <c r="Q213" s="31">
        <f>L213</f>
        <v>0</v>
      </c>
      <c r="W213">
        <f>IF(Source!BI131&lt;=1,H212, 0)</f>
        <v>110.08</v>
      </c>
      <c r="X213">
        <f>IF(Source!BI131=2,H212, 0)</f>
        <v>0</v>
      </c>
      <c r="Y213">
        <f>IF(Source!BI131=3,H212, 0)</f>
        <v>0</v>
      </c>
      <c r="Z213">
        <f>IF(Source!BI131=4,H212, 0)</f>
        <v>0</v>
      </c>
    </row>
    <row r="215" spans="1:32" ht="15" x14ac:dyDescent="0.25">
      <c r="A215" s="67" t="str">
        <f>CONCATENATE("Итого по разделу: ",IF(Source!G133&lt;&gt;"Новый раздел", Source!G133, ""))</f>
        <v>Итого по разделу: Вывоз мусора</v>
      </c>
      <c r="B215" s="67"/>
      <c r="C215" s="67"/>
      <c r="D215" s="67"/>
      <c r="E215" s="67"/>
      <c r="F215" s="67"/>
      <c r="G215" s="66">
        <f>SUM(O209:O214)</f>
        <v>297.89999999999998</v>
      </c>
      <c r="H215" s="66"/>
      <c r="I215" s="34"/>
      <c r="J215" s="66">
        <f>SUM(P209:P214)</f>
        <v>2302.79</v>
      </c>
      <c r="K215" s="66"/>
      <c r="L215" s="48">
        <f>SUM(Q209:Q214)</f>
        <v>0</v>
      </c>
    </row>
    <row r="218" spans="1:32" ht="14.25" x14ac:dyDescent="0.2">
      <c r="C218" s="63" t="str">
        <f>Source!H150</f>
        <v>Строительные работы с НР и СП</v>
      </c>
      <c r="D218" s="63"/>
      <c r="E218" s="63"/>
      <c r="F218" s="63"/>
      <c r="G218" s="63"/>
      <c r="H218" s="63"/>
      <c r="I218" s="63"/>
      <c r="J218" s="64">
        <f>IF(Source!F150=0, "", Source!F150)</f>
        <v>2302.79</v>
      </c>
      <c r="K218" s="64"/>
    </row>
    <row r="219" spans="1:32" ht="14.25" x14ac:dyDescent="0.2">
      <c r="C219" s="63" t="str">
        <f>Source!H161</f>
        <v>Всего с НР и СП</v>
      </c>
      <c r="D219" s="63"/>
      <c r="E219" s="63"/>
      <c r="F219" s="63"/>
      <c r="G219" s="63"/>
      <c r="H219" s="63"/>
      <c r="I219" s="63"/>
      <c r="J219" s="64">
        <f>IF(Source!F161=0, "", Source!F161)</f>
        <v>2302.79</v>
      </c>
      <c r="K219" s="64"/>
    </row>
    <row r="221" spans="1:32" ht="30" x14ac:dyDescent="0.25">
      <c r="A221" s="67" t="str">
        <f>CONCATENATE("Итого по смете: ",IF(Source!G196&lt;&gt;"Новый объект", Source!G196, ""))</f>
        <v>Итого по смете: Замена оконных и дверных блоков в здании ФАУ МО РФ ЦСКА по адресу: 125167, г. Москва, Ленинградский проспект, д. 39, стр. 29</v>
      </c>
      <c r="B221" s="67"/>
      <c r="C221" s="67"/>
      <c r="D221" s="67"/>
      <c r="E221" s="67"/>
      <c r="F221" s="67"/>
      <c r="G221" s="66">
        <f>SUM(O1:O220)</f>
        <v>101334.41000000002</v>
      </c>
      <c r="H221" s="66"/>
      <c r="I221" s="34"/>
      <c r="J221" s="66">
        <f>SUM(P1:P220)</f>
        <v>783332.27999999991</v>
      </c>
      <c r="K221" s="66"/>
      <c r="L221" s="48">
        <f>SUM(Q1:Q220)</f>
        <v>247.10728459999996</v>
      </c>
      <c r="AF221" s="57" t="str">
        <f>CONCATENATE("Итого по смете: ",IF(Source!G196&lt;&gt;"Новый объект", Source!G196, ""))</f>
        <v>Итого по смете: Замена оконных и дверных блоков в здании ФАУ МО РФ ЦСКА по адресу: 125167, г. Москва, Ленинградский проспект, д. 39, стр. 29</v>
      </c>
    </row>
    <row r="223" spans="1:32" ht="14.25" x14ac:dyDescent="0.2">
      <c r="C223" s="63" t="str">
        <f>Source!H198</f>
        <v>Прямые затраты</v>
      </c>
      <c r="D223" s="63"/>
      <c r="E223" s="63"/>
      <c r="F223" s="63"/>
      <c r="G223" s="63"/>
      <c r="H223" s="63"/>
      <c r="I223" s="63"/>
      <c r="J223" s="64">
        <f>IF(Source!F198=0, "", Source!F198)</f>
        <v>753998.69</v>
      </c>
      <c r="K223" s="64"/>
    </row>
    <row r="224" spans="1:32" ht="14.25" x14ac:dyDescent="0.2">
      <c r="C224" s="63" t="str">
        <f>Source!H199</f>
        <v>Стоимость материальных ресурсов</v>
      </c>
      <c r="D224" s="63"/>
      <c r="E224" s="63"/>
      <c r="F224" s="63"/>
      <c r="G224" s="63"/>
      <c r="H224" s="63"/>
      <c r="I224" s="63"/>
      <c r="J224" s="64">
        <f>IF(Source!F199=0, "", Source!F199)</f>
        <v>732716</v>
      </c>
      <c r="K224" s="64"/>
    </row>
    <row r="225" spans="1:12" ht="14.25" x14ac:dyDescent="0.2">
      <c r="C225" s="63" t="str">
        <f>Source!H202</f>
        <v>Стоимость материалов</v>
      </c>
      <c r="D225" s="63"/>
      <c r="E225" s="63"/>
      <c r="F225" s="63"/>
      <c r="G225" s="63"/>
      <c r="H225" s="63"/>
      <c r="I225" s="63"/>
      <c r="J225" s="64">
        <f>IF(Source!F202=0, "", Source!F202)</f>
        <v>732716</v>
      </c>
      <c r="K225" s="64"/>
    </row>
    <row r="226" spans="1:12" ht="14.25" x14ac:dyDescent="0.2">
      <c r="C226" s="63" t="str">
        <f>Source!H208</f>
        <v>Эксплуатация машин</v>
      </c>
      <c r="D226" s="63"/>
      <c r="E226" s="63"/>
      <c r="F226" s="63"/>
      <c r="G226" s="63"/>
      <c r="H226" s="63"/>
      <c r="I226" s="63"/>
      <c r="J226" s="64">
        <f>IF(Source!F208=0, "", Source!F208)</f>
        <v>4393.3100000000004</v>
      </c>
      <c r="K226" s="64"/>
    </row>
    <row r="227" spans="1:12" ht="14.25" x14ac:dyDescent="0.2">
      <c r="C227" s="63" t="str">
        <f>Source!H210</f>
        <v>ЗП машинистов</v>
      </c>
      <c r="D227" s="63"/>
      <c r="E227" s="63"/>
      <c r="F227" s="63"/>
      <c r="G227" s="63"/>
      <c r="H227" s="63"/>
      <c r="I227" s="63"/>
      <c r="J227" s="64">
        <f>IF(Source!F210=0, "", Source!F210)</f>
        <v>721.83</v>
      </c>
      <c r="K227" s="64"/>
    </row>
    <row r="228" spans="1:12" ht="14.25" x14ac:dyDescent="0.2">
      <c r="C228" s="63" t="str">
        <f>Source!H211</f>
        <v>Основная ЗП рабочих</v>
      </c>
      <c r="D228" s="63"/>
      <c r="E228" s="63"/>
      <c r="F228" s="63"/>
      <c r="G228" s="63"/>
      <c r="H228" s="63"/>
      <c r="I228" s="63"/>
      <c r="J228" s="64">
        <f>IF(Source!F211=0, "", Source!F211)</f>
        <v>16889.38</v>
      </c>
      <c r="K228" s="64"/>
    </row>
    <row r="229" spans="1:12" ht="14.25" x14ac:dyDescent="0.2">
      <c r="C229" s="63" t="str">
        <f>Source!H213</f>
        <v>Строительные работы с НР и СП</v>
      </c>
      <c r="D229" s="63"/>
      <c r="E229" s="63"/>
      <c r="F229" s="63"/>
      <c r="G229" s="63"/>
      <c r="H229" s="63"/>
      <c r="I229" s="63"/>
      <c r="J229" s="64">
        <f>IF(Source!F213=0, "", Source!F213)</f>
        <v>783332.28</v>
      </c>
      <c r="K229" s="64"/>
    </row>
    <row r="230" spans="1:12" ht="14.25" x14ac:dyDescent="0.2">
      <c r="C230" s="63" t="str">
        <f>Source!H218</f>
        <v>Трудозатраты строителей</v>
      </c>
      <c r="D230" s="63"/>
      <c r="E230" s="63"/>
      <c r="F230" s="63"/>
      <c r="G230" s="63"/>
      <c r="H230" s="63"/>
      <c r="I230" s="63"/>
      <c r="J230" s="64">
        <f>IF(Source!F218=0, "", Source!F218)</f>
        <v>247.11</v>
      </c>
      <c r="K230" s="64"/>
    </row>
    <row r="231" spans="1:12" ht="14.25" x14ac:dyDescent="0.2">
      <c r="C231" s="63" t="str">
        <f>Source!H219</f>
        <v>Трудозатраты машинистов</v>
      </c>
      <c r="D231" s="63"/>
      <c r="E231" s="63"/>
      <c r="F231" s="63"/>
      <c r="G231" s="63"/>
      <c r="H231" s="63"/>
      <c r="I231" s="63"/>
      <c r="J231" s="64">
        <f>IF(Source!F219=0, "", Source!F219)</f>
        <v>7.85</v>
      </c>
      <c r="K231" s="64"/>
    </row>
    <row r="232" spans="1:12" ht="14.25" x14ac:dyDescent="0.2">
      <c r="C232" s="63" t="str">
        <f>Source!H222</f>
        <v>Накладные расходы</v>
      </c>
      <c r="D232" s="63"/>
      <c r="E232" s="63"/>
      <c r="F232" s="63"/>
      <c r="G232" s="63"/>
      <c r="H232" s="63"/>
      <c r="I232" s="63"/>
      <c r="J232" s="64">
        <f>IF(Source!F222=0, "", Source!F222)</f>
        <v>16481.37</v>
      </c>
      <c r="K232" s="64"/>
    </row>
    <row r="233" spans="1:12" ht="14.25" x14ac:dyDescent="0.2">
      <c r="C233" s="63" t="str">
        <f>Source!H223</f>
        <v>Сметная прибыль</v>
      </c>
      <c r="D233" s="63"/>
      <c r="E233" s="63"/>
      <c r="F233" s="63"/>
      <c r="G233" s="63"/>
      <c r="H233" s="63"/>
      <c r="I233" s="63"/>
      <c r="J233" s="64">
        <f>IF(Source!F223=0, "", Source!F223)</f>
        <v>10549.43</v>
      </c>
      <c r="K233" s="64"/>
    </row>
    <row r="234" spans="1:12" ht="14.25" x14ac:dyDescent="0.2">
      <c r="C234" s="63" t="str">
        <f>Source!H224</f>
        <v>Всего с НР и СП</v>
      </c>
      <c r="D234" s="63"/>
      <c r="E234" s="63"/>
      <c r="F234" s="63"/>
      <c r="G234" s="63"/>
      <c r="H234" s="63"/>
      <c r="I234" s="63"/>
      <c r="J234" s="64">
        <f>IF(Source!F224=0, "", Source!F224)</f>
        <v>783332.28</v>
      </c>
      <c r="K234" s="64"/>
    </row>
    <row r="235" spans="1:12" ht="14.25" x14ac:dyDescent="0.2">
      <c r="C235" s="63" t="str">
        <f>Source!H225</f>
        <v>Итого</v>
      </c>
      <c r="D235" s="63"/>
      <c r="E235" s="63"/>
      <c r="F235" s="63"/>
      <c r="G235" s="63"/>
      <c r="H235" s="63"/>
      <c r="I235" s="63"/>
      <c r="J235" s="64">
        <f>IF(Source!F225=0, "", Source!F225)</f>
        <v>783332.28</v>
      </c>
      <c r="K235" s="64"/>
    </row>
    <row r="236" spans="1:12" ht="14.25" x14ac:dyDescent="0.2">
      <c r="C236" s="63" t="str">
        <f>Source!H226</f>
        <v>НДС 20 %</v>
      </c>
      <c r="D236" s="63"/>
      <c r="E236" s="63"/>
      <c r="F236" s="63"/>
      <c r="G236" s="63"/>
      <c r="H236" s="63"/>
      <c r="I236" s="63"/>
      <c r="J236" s="64">
        <f>IF(Source!F226=0, "", Source!F226)</f>
        <v>156666.46</v>
      </c>
      <c r="K236" s="64"/>
    </row>
    <row r="237" spans="1:12" ht="14.25" x14ac:dyDescent="0.2">
      <c r="C237" s="63" t="str">
        <f>Source!H227</f>
        <v>Всего</v>
      </c>
      <c r="D237" s="63"/>
      <c r="E237" s="63"/>
      <c r="F237" s="63"/>
      <c r="G237" s="63"/>
      <c r="H237" s="63"/>
      <c r="I237" s="63"/>
      <c r="J237" s="64">
        <f>IF(Source!F227=0, "", Source!F227)</f>
        <v>939998.74</v>
      </c>
      <c r="K237" s="64"/>
    </row>
    <row r="240" spans="1:12" ht="14.25" x14ac:dyDescent="0.2">
      <c r="A240" s="33" t="s">
        <v>435</v>
      </c>
      <c r="B240" s="33"/>
      <c r="C240" s="9" t="s">
        <v>436</v>
      </c>
      <c r="D240" s="32" t="str">
        <f>IF(Source!CP20&lt;&gt;"", Source!CP20," ")</f>
        <v xml:space="preserve"> </v>
      </c>
      <c r="E240" s="32"/>
      <c r="F240" s="32"/>
      <c r="G240" s="32"/>
      <c r="H240" s="32"/>
      <c r="I240" s="10" t="str">
        <f>IF(Source!CO20&lt;&gt;"", Source!CO20," ")</f>
        <v xml:space="preserve"> </v>
      </c>
      <c r="J240" s="9"/>
      <c r="K240" s="10"/>
      <c r="L240" s="10"/>
    </row>
    <row r="241" spans="1:12" ht="14.25" x14ac:dyDescent="0.2">
      <c r="A241" s="10"/>
      <c r="B241" s="10"/>
      <c r="C241" s="9"/>
      <c r="D241" s="69" t="s">
        <v>437</v>
      </c>
      <c r="E241" s="69"/>
      <c r="F241" s="69"/>
      <c r="G241" s="69"/>
      <c r="H241" s="69"/>
      <c r="I241" s="10"/>
      <c r="J241" s="9"/>
      <c r="K241" s="10"/>
      <c r="L241" s="10"/>
    </row>
    <row r="242" spans="1:12" ht="14.25" x14ac:dyDescent="0.2">
      <c r="A242" s="10"/>
      <c r="B242" s="10"/>
      <c r="C242" s="9"/>
      <c r="D242" s="10"/>
      <c r="E242" s="10"/>
      <c r="F242" s="10"/>
      <c r="G242" s="10"/>
      <c r="H242" s="10"/>
      <c r="I242" s="10"/>
      <c r="J242" s="9"/>
      <c r="K242" s="10"/>
      <c r="L242" s="10"/>
    </row>
    <row r="243" spans="1:12" ht="14.25" x14ac:dyDescent="0.2">
      <c r="A243" s="33" t="s">
        <v>435</v>
      </c>
      <c r="B243" s="33"/>
      <c r="C243" s="9" t="s">
        <v>438</v>
      </c>
      <c r="D243" s="32" t="str">
        <f>IF(Source!AC12&lt;&gt;"", Source!AC12," ")</f>
        <v xml:space="preserve"> </v>
      </c>
      <c r="E243" s="32"/>
      <c r="F243" s="32"/>
      <c r="G243" s="32"/>
      <c r="H243" s="32"/>
      <c r="I243" s="10" t="str">
        <f>IF(Source!AB12&lt;&gt;"", Source!AB12," ")</f>
        <v xml:space="preserve"> </v>
      </c>
      <c r="J243" s="9"/>
      <c r="K243" s="10"/>
      <c r="L243" s="10"/>
    </row>
    <row r="244" spans="1:12" ht="14.25" x14ac:dyDescent="0.2">
      <c r="A244" s="10"/>
      <c r="B244" s="10"/>
      <c r="C244" s="10"/>
      <c r="D244" s="69" t="s">
        <v>437</v>
      </c>
      <c r="E244" s="69"/>
      <c r="F244" s="69"/>
      <c r="G244" s="69"/>
      <c r="H244" s="69"/>
      <c r="I244" s="10"/>
      <c r="J244" s="10"/>
      <c r="K244" s="10"/>
      <c r="L244" s="10"/>
    </row>
    <row r="245" spans="1:12" ht="14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 ht="14.25" x14ac:dyDescent="0.2">
      <c r="A246" s="10"/>
      <c r="B246" s="10"/>
      <c r="C246" s="9" t="s">
        <v>439</v>
      </c>
      <c r="D246" s="32" t="str">
        <f>IF(Source!AE12&lt;&gt;"", Source!AE12," ")</f>
        <v xml:space="preserve"> </v>
      </c>
      <c r="E246" s="32"/>
      <c r="F246" s="32"/>
      <c r="G246" s="32"/>
      <c r="H246" s="32"/>
      <c r="I246" s="10" t="str">
        <f>IF(Source!AD12&lt;&gt;"", Source!AD12," ")</f>
        <v xml:space="preserve"> </v>
      </c>
      <c r="J246" s="9"/>
      <c r="K246" s="10"/>
      <c r="L246" s="10"/>
    </row>
    <row r="247" spans="1:12" ht="14.25" x14ac:dyDescent="0.2">
      <c r="A247" s="10"/>
      <c r="B247" s="10"/>
      <c r="C247" s="10"/>
      <c r="D247" s="69" t="s">
        <v>437</v>
      </c>
      <c r="E247" s="69"/>
      <c r="F247" s="69"/>
      <c r="G247" s="69"/>
      <c r="H247" s="69"/>
      <c r="I247" s="10"/>
      <c r="J247" s="10"/>
      <c r="K247" s="10"/>
      <c r="L247" s="10"/>
    </row>
  </sheetData>
  <mergeCells count="193">
    <mergeCell ref="B2:E2"/>
    <mergeCell ref="H2:L2"/>
    <mergeCell ref="B3:E3"/>
    <mergeCell ref="H3:L3"/>
    <mergeCell ref="B6:E6"/>
    <mergeCell ref="H6:L6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A97:F97"/>
    <mergeCell ref="A42:L42"/>
    <mergeCell ref="J70:K70"/>
    <mergeCell ref="G70:H70"/>
    <mergeCell ref="J60:K60"/>
    <mergeCell ref="G60:H60"/>
    <mergeCell ref="J50:K50"/>
    <mergeCell ref="G50:H50"/>
    <mergeCell ref="J95:K95"/>
    <mergeCell ref="G191:H191"/>
    <mergeCell ref="F188:G188"/>
    <mergeCell ref="F187:G187"/>
    <mergeCell ref="J182:K182"/>
    <mergeCell ref="G182:H182"/>
    <mergeCell ref="F178:G178"/>
    <mergeCell ref="F177:G177"/>
    <mergeCell ref="J171:K171"/>
    <mergeCell ref="G171:H171"/>
    <mergeCell ref="F130:G130"/>
    <mergeCell ref="J123:K123"/>
    <mergeCell ref="G123:H123"/>
    <mergeCell ref="A111:L111"/>
    <mergeCell ref="C106:I106"/>
    <mergeCell ref="J106:K106"/>
    <mergeCell ref="C107:I107"/>
    <mergeCell ref="J107:K107"/>
    <mergeCell ref="C108:I108"/>
    <mergeCell ref="J108:K108"/>
    <mergeCell ref="C198:I198"/>
    <mergeCell ref="J198:K198"/>
    <mergeCell ref="C199:I199"/>
    <mergeCell ref="J199:K199"/>
    <mergeCell ref="C200:I200"/>
    <mergeCell ref="J200:K200"/>
    <mergeCell ref="J205:K205"/>
    <mergeCell ref="C206:I206"/>
    <mergeCell ref="C196:I196"/>
    <mergeCell ref="J196:K196"/>
    <mergeCell ref="C197:I197"/>
    <mergeCell ref="J197:K197"/>
    <mergeCell ref="C223:I223"/>
    <mergeCell ref="J223:K223"/>
    <mergeCell ref="C224:I224"/>
    <mergeCell ref="J224:K224"/>
    <mergeCell ref="C225:I225"/>
    <mergeCell ref="J225:K225"/>
    <mergeCell ref="C207:I207"/>
    <mergeCell ref="J207:K207"/>
    <mergeCell ref="C218:I218"/>
    <mergeCell ref="J218:K218"/>
    <mergeCell ref="C219:I219"/>
    <mergeCell ref="J219:K219"/>
    <mergeCell ref="A215:F215"/>
    <mergeCell ref="J213:K213"/>
    <mergeCell ref="G213:H213"/>
    <mergeCell ref="J211:K211"/>
    <mergeCell ref="G221:H221"/>
    <mergeCell ref="J221:K221"/>
    <mergeCell ref="A221:F221"/>
    <mergeCell ref="G215:H215"/>
    <mergeCell ref="J215:K215"/>
    <mergeCell ref="C230:I230"/>
    <mergeCell ref="J230:K230"/>
    <mergeCell ref="C231:I231"/>
    <mergeCell ref="J231:K231"/>
    <mergeCell ref="C226:I226"/>
    <mergeCell ref="J226:K226"/>
    <mergeCell ref="C227:I227"/>
    <mergeCell ref="J227:K227"/>
    <mergeCell ref="C228:I228"/>
    <mergeCell ref="J228:K228"/>
    <mergeCell ref="D241:H241"/>
    <mergeCell ref="D244:H244"/>
    <mergeCell ref="D247:H247"/>
    <mergeCell ref="J133:K133"/>
    <mergeCell ref="G133:H133"/>
    <mergeCell ref="F131:G131"/>
    <mergeCell ref="F168:G168"/>
    <mergeCell ref="F167:G167"/>
    <mergeCell ref="J160:K160"/>
    <mergeCell ref="G160:H160"/>
    <mergeCell ref="C235:I235"/>
    <mergeCell ref="J235:K235"/>
    <mergeCell ref="C236:I236"/>
    <mergeCell ref="J236:K236"/>
    <mergeCell ref="C237:I237"/>
    <mergeCell ref="J237:K237"/>
    <mergeCell ref="C232:I232"/>
    <mergeCell ref="J232:K232"/>
    <mergeCell ref="C233:I233"/>
    <mergeCell ref="J233:K233"/>
    <mergeCell ref="C234:I234"/>
    <mergeCell ref="J234:K234"/>
    <mergeCell ref="C229:I229"/>
    <mergeCell ref="J229:K229"/>
    <mergeCell ref="G211:H211"/>
    <mergeCell ref="A209:L209"/>
    <mergeCell ref="G193:H193"/>
    <mergeCell ref="J193:K193"/>
    <mergeCell ref="A193:F193"/>
    <mergeCell ref="J191:K191"/>
    <mergeCell ref="J135:K135"/>
    <mergeCell ref="G135:H135"/>
    <mergeCell ref="F155:G155"/>
    <mergeCell ref="F154:G154"/>
    <mergeCell ref="J147:K147"/>
    <mergeCell ref="G147:H147"/>
    <mergeCell ref="F143:G143"/>
    <mergeCell ref="F142:G142"/>
    <mergeCell ref="C204:I204"/>
    <mergeCell ref="J204:K204"/>
    <mergeCell ref="C205:I205"/>
    <mergeCell ref="J206:K206"/>
    <mergeCell ref="C201:I201"/>
    <mergeCell ref="J201:K201"/>
    <mergeCell ref="C202:I202"/>
    <mergeCell ref="J202:K202"/>
    <mergeCell ref="C203:I203"/>
    <mergeCell ref="J203:K203"/>
    <mergeCell ref="B1:K1"/>
    <mergeCell ref="H4:L4"/>
    <mergeCell ref="G95:H95"/>
    <mergeCell ref="J86:K86"/>
    <mergeCell ref="G86:H86"/>
    <mergeCell ref="J78:K78"/>
    <mergeCell ref="G78:H78"/>
    <mergeCell ref="C109:I109"/>
    <mergeCell ref="J109:K109"/>
    <mergeCell ref="C103:I103"/>
    <mergeCell ref="J103:K103"/>
    <mergeCell ref="C104:I104"/>
    <mergeCell ref="J104:K104"/>
    <mergeCell ref="C105:I105"/>
    <mergeCell ref="J105:K105"/>
    <mergeCell ref="A38:L38"/>
    <mergeCell ref="C100:I100"/>
    <mergeCell ref="J100:K100"/>
    <mergeCell ref="C101:I101"/>
    <mergeCell ref="J101:K101"/>
    <mergeCell ref="C102:I102"/>
    <mergeCell ref="J102:K102"/>
    <mergeCell ref="G97:H97"/>
    <mergeCell ref="J97:K97"/>
  </mergeCells>
  <pageMargins left="0.4" right="0.2" top="0.2" bottom="0.4" header="0.2" footer="0.2"/>
  <pageSetup paperSize="9" scale="59" fitToHeight="0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63"/>
  <sheetViews>
    <sheetView workbookViewId="0">
      <selection activeCell="A259" sqref="A259:AN259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53431</v>
      </c>
      <c r="M1">
        <v>10</v>
      </c>
      <c r="N1">
        <v>11</v>
      </c>
      <c r="O1">
        <v>2</v>
      </c>
      <c r="P1">
        <v>0</v>
      </c>
      <c r="Q1">
        <v>1</v>
      </c>
    </row>
    <row r="12" spans="1:133" x14ac:dyDescent="0.2">
      <c r="A12" s="1">
        <v>1</v>
      </c>
      <c r="B12" s="1">
        <v>258</v>
      </c>
      <c r="C12" s="1">
        <v>0</v>
      </c>
      <c r="D12" s="1">
        <f>ROW(A196)</f>
        <v>196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1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17629192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B196</f>
        <v>258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Замена оконных и дверных блоков в здании ФАУ МО РФ ЦСКА по адресу: 125167, г. Москва, Ленинградский проспект, д. 39, стр. 29</v>
      </c>
      <c r="H18" s="2"/>
      <c r="I18" s="2"/>
      <c r="J18" s="2"/>
      <c r="K18" s="2"/>
      <c r="L18" s="2"/>
      <c r="M18" s="2"/>
      <c r="N18" s="2"/>
      <c r="O18" s="2">
        <f t="shared" ref="O18:AT18" si="1">O196</f>
        <v>753998.69</v>
      </c>
      <c r="P18" s="2">
        <f t="shared" si="1"/>
        <v>732716</v>
      </c>
      <c r="Q18" s="2">
        <f t="shared" si="1"/>
        <v>4393.3100000000004</v>
      </c>
      <c r="R18" s="2">
        <f t="shared" si="1"/>
        <v>721.83</v>
      </c>
      <c r="S18" s="2">
        <f t="shared" si="1"/>
        <v>16889.38</v>
      </c>
      <c r="T18" s="2">
        <f t="shared" si="1"/>
        <v>0</v>
      </c>
      <c r="U18" s="2">
        <f t="shared" si="1"/>
        <v>247.10728459999996</v>
      </c>
      <c r="V18" s="2">
        <f t="shared" si="1"/>
        <v>7.848255</v>
      </c>
      <c r="W18" s="2">
        <f t="shared" si="1"/>
        <v>0</v>
      </c>
      <c r="X18" s="2">
        <f t="shared" si="1"/>
        <v>16481.37</v>
      </c>
      <c r="Y18" s="2">
        <f t="shared" si="1"/>
        <v>10549.43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783332.28</v>
      </c>
      <c r="AS18" s="2">
        <f t="shared" si="1"/>
        <v>783332.28</v>
      </c>
      <c r="AT18" s="2">
        <f t="shared" si="1"/>
        <v>0</v>
      </c>
      <c r="AU18" s="2">
        <f t="shared" ref="AU18:BZ18" si="2">AU196</f>
        <v>0</v>
      </c>
      <c r="AV18" s="2">
        <f t="shared" si="2"/>
        <v>732716</v>
      </c>
      <c r="AW18" s="2">
        <f t="shared" si="2"/>
        <v>732716</v>
      </c>
      <c r="AX18" s="2">
        <f t="shared" si="2"/>
        <v>0</v>
      </c>
      <c r="AY18" s="2">
        <f t="shared" si="2"/>
        <v>732716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2302.79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CA196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DG196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EM196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FS196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ROW(A163)</f>
        <v>163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B163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O163</f>
        <v>753998.69</v>
      </c>
      <c r="P22" s="2">
        <f t="shared" si="8"/>
        <v>732716</v>
      </c>
      <c r="Q22" s="2">
        <f t="shared" si="8"/>
        <v>4393.3100000000004</v>
      </c>
      <c r="R22" s="2">
        <f t="shared" si="8"/>
        <v>721.83</v>
      </c>
      <c r="S22" s="2">
        <f t="shared" si="8"/>
        <v>16889.38</v>
      </c>
      <c r="T22" s="2">
        <f t="shared" si="8"/>
        <v>0</v>
      </c>
      <c r="U22" s="2">
        <f t="shared" si="8"/>
        <v>247.10728459999996</v>
      </c>
      <c r="V22" s="2">
        <f t="shared" si="8"/>
        <v>7.848255</v>
      </c>
      <c r="W22" s="2">
        <f t="shared" si="8"/>
        <v>0</v>
      </c>
      <c r="X22" s="2">
        <f t="shared" si="8"/>
        <v>16481.37</v>
      </c>
      <c r="Y22" s="2">
        <f t="shared" si="8"/>
        <v>10549.43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783332.28</v>
      </c>
      <c r="AS22" s="2">
        <f t="shared" si="8"/>
        <v>783332.28</v>
      </c>
      <c r="AT22" s="2">
        <f t="shared" si="8"/>
        <v>0</v>
      </c>
      <c r="AU22" s="2">
        <f t="shared" ref="AU22:BZ22" si="9">AU163</f>
        <v>0</v>
      </c>
      <c r="AV22" s="2">
        <f t="shared" si="9"/>
        <v>732716</v>
      </c>
      <c r="AW22" s="2">
        <f t="shared" si="9"/>
        <v>732716</v>
      </c>
      <c r="AX22" s="2">
        <f t="shared" si="9"/>
        <v>0</v>
      </c>
      <c r="AY22" s="2">
        <f t="shared" si="9"/>
        <v>732716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2302.79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CA163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DG163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EM163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FS163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 s="1">
        <v>4</v>
      </c>
      <c r="B24" s="1">
        <v>1</v>
      </c>
      <c r="C24" s="1"/>
      <c r="D24" s="1">
        <f>ROW(A41)</f>
        <v>41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 x14ac:dyDescent="0.2">
      <c r="A26" s="2">
        <v>52</v>
      </c>
      <c r="B26" s="2">
        <f t="shared" ref="B26:G26" si="14">B41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Демонтажные работы</v>
      </c>
      <c r="H26" s="2"/>
      <c r="I26" s="2"/>
      <c r="J26" s="2"/>
      <c r="K26" s="2"/>
      <c r="L26" s="2"/>
      <c r="M26" s="2"/>
      <c r="N26" s="2"/>
      <c r="O26" s="2">
        <f t="shared" ref="O26:AT26" si="15">O41</f>
        <v>4203.72</v>
      </c>
      <c r="P26" s="2">
        <f t="shared" si="15"/>
        <v>0</v>
      </c>
      <c r="Q26" s="2">
        <f t="shared" si="15"/>
        <v>291.81</v>
      </c>
      <c r="R26" s="2">
        <f t="shared" si="15"/>
        <v>72.8</v>
      </c>
      <c r="S26" s="2">
        <f t="shared" si="15"/>
        <v>3911.91</v>
      </c>
      <c r="T26" s="2">
        <f t="shared" si="15"/>
        <v>0</v>
      </c>
      <c r="U26" s="2">
        <f t="shared" si="15"/>
        <v>62.877719999999997</v>
      </c>
      <c r="V26" s="2">
        <f t="shared" si="15"/>
        <v>0.69735999999999998</v>
      </c>
      <c r="W26" s="2">
        <f t="shared" si="15"/>
        <v>0</v>
      </c>
      <c r="X26" s="2">
        <f t="shared" si="15"/>
        <v>3267.47</v>
      </c>
      <c r="Y26" s="2">
        <f t="shared" si="15"/>
        <v>2470.52</v>
      </c>
      <c r="Z26" s="2">
        <f t="shared" si="15"/>
        <v>0</v>
      </c>
      <c r="AA26" s="2">
        <f t="shared" si="15"/>
        <v>0</v>
      </c>
      <c r="AB26" s="2">
        <f t="shared" si="15"/>
        <v>4203.72</v>
      </c>
      <c r="AC26" s="2">
        <f t="shared" si="15"/>
        <v>0</v>
      </c>
      <c r="AD26" s="2">
        <f t="shared" si="15"/>
        <v>291.81</v>
      </c>
      <c r="AE26" s="2">
        <f t="shared" si="15"/>
        <v>72.8</v>
      </c>
      <c r="AF26" s="2">
        <f t="shared" si="15"/>
        <v>3911.91</v>
      </c>
      <c r="AG26" s="2">
        <f t="shared" si="15"/>
        <v>0</v>
      </c>
      <c r="AH26" s="2">
        <f t="shared" si="15"/>
        <v>62.877719999999997</v>
      </c>
      <c r="AI26" s="2">
        <f t="shared" si="15"/>
        <v>0.69735999999999998</v>
      </c>
      <c r="AJ26" s="2">
        <f t="shared" si="15"/>
        <v>0</v>
      </c>
      <c r="AK26" s="2">
        <f t="shared" si="15"/>
        <v>3267.47</v>
      </c>
      <c r="AL26" s="2">
        <f t="shared" si="15"/>
        <v>2470.52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9941.7099999999991</v>
      </c>
      <c r="AS26" s="2">
        <f t="shared" si="15"/>
        <v>9941.7099999999991</v>
      </c>
      <c r="AT26" s="2">
        <f t="shared" si="15"/>
        <v>0</v>
      </c>
      <c r="AU26" s="2">
        <f t="shared" ref="AU26:BZ26" si="16">AU41</f>
        <v>0</v>
      </c>
      <c r="AV26" s="2">
        <f t="shared" si="16"/>
        <v>0</v>
      </c>
      <c r="AW26" s="2">
        <f t="shared" si="16"/>
        <v>0</v>
      </c>
      <c r="AX26" s="2">
        <f t="shared" si="16"/>
        <v>0</v>
      </c>
      <c r="AY26" s="2">
        <f t="shared" si="16"/>
        <v>0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CA41</f>
        <v>9941.7099999999991</v>
      </c>
      <c r="CB26" s="2">
        <f t="shared" si="17"/>
        <v>9941.7099999999991</v>
      </c>
      <c r="CC26" s="2">
        <f t="shared" si="17"/>
        <v>0</v>
      </c>
      <c r="CD26" s="2">
        <f t="shared" si="17"/>
        <v>0</v>
      </c>
      <c r="CE26" s="2">
        <f t="shared" si="17"/>
        <v>0</v>
      </c>
      <c r="CF26" s="2">
        <f t="shared" si="17"/>
        <v>0</v>
      </c>
      <c r="CG26" s="2">
        <f t="shared" si="17"/>
        <v>0</v>
      </c>
      <c r="CH26" s="2">
        <f t="shared" si="17"/>
        <v>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DG41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EM41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FS41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 x14ac:dyDescent="0.2">
      <c r="A28">
        <v>17</v>
      </c>
      <c r="B28">
        <v>1</v>
      </c>
      <c r="C28">
        <f>ROW(SmtRes!A2)</f>
        <v>2</v>
      </c>
      <c r="D28">
        <f>ROW(EtalonRes!A2)</f>
        <v>2</v>
      </c>
      <c r="E28" t="s">
        <v>15</v>
      </c>
      <c r="F28" t="s">
        <v>16</v>
      </c>
      <c r="G28" t="s">
        <v>17</v>
      </c>
      <c r="H28" t="s">
        <v>18</v>
      </c>
      <c r="I28">
        <f>ROUND((0.6*3)/100,4)</f>
        <v>1.7999999999999999E-2</v>
      </c>
      <c r="J28">
        <v>0</v>
      </c>
      <c r="O28">
        <f t="shared" ref="O28:O39" si="21">ROUND(CP28,2)</f>
        <v>105.98</v>
      </c>
      <c r="P28">
        <f t="shared" ref="P28:P39" si="22">ROUND(CQ28*I28,2)</f>
        <v>0</v>
      </c>
      <c r="Q28">
        <f t="shared" ref="Q28:Q39" si="23">ROUND(CR28*I28,2)</f>
        <v>0</v>
      </c>
      <c r="R28">
        <f t="shared" ref="R28:R39" si="24">ROUND(CS28*I28,2)</f>
        <v>0</v>
      </c>
      <c r="S28">
        <f t="shared" ref="S28:S39" si="25">ROUND(CT28*I28,2)</f>
        <v>105.98</v>
      </c>
      <c r="T28">
        <f t="shared" ref="T28:T39" si="26">ROUND(CU28*I28,2)</f>
        <v>0</v>
      </c>
      <c r="U28">
        <f t="shared" ref="U28:U39" si="27">CV28*I28</f>
        <v>1.7094599999999998</v>
      </c>
      <c r="V28">
        <f t="shared" ref="V28:V39" si="28">CW28*I28</f>
        <v>0</v>
      </c>
      <c r="W28">
        <f t="shared" ref="W28:W39" si="29">ROUND(CX28*I28,2)</f>
        <v>0</v>
      </c>
      <c r="X28">
        <f t="shared" ref="X28:X39" si="30">ROUND(CY28,2)</f>
        <v>86.9</v>
      </c>
      <c r="Y28">
        <f t="shared" ref="Y28:Y39" si="31">ROUND(CZ28,2)</f>
        <v>65.709999999999994</v>
      </c>
      <c r="AA28">
        <v>96554872</v>
      </c>
      <c r="AB28">
        <f t="shared" ref="AB28:AB39" si="32">ROUND((AC28+AD28+AF28),2)</f>
        <v>761.66</v>
      </c>
      <c r="AC28">
        <f t="shared" ref="AC28:AC39" si="33">ROUND((ES28),2)</f>
        <v>0</v>
      </c>
      <c r="AD28">
        <f t="shared" ref="AD28:AD39" si="34">ROUND((((ET28)-(EU28))+AE28),2)</f>
        <v>0</v>
      </c>
      <c r="AE28">
        <f t="shared" ref="AE28:AE39" si="35">ROUND((EU28),2)</f>
        <v>0</v>
      </c>
      <c r="AF28">
        <f t="shared" ref="AF28:AF39" si="36">ROUND((EV28),2)</f>
        <v>761.66</v>
      </c>
      <c r="AG28">
        <f t="shared" ref="AG28:AG39" si="37">ROUND((AP28),2)</f>
        <v>0</v>
      </c>
      <c r="AH28">
        <f t="shared" ref="AH28:AH39" si="38">(EW28)</f>
        <v>94.97</v>
      </c>
      <c r="AI28">
        <f t="shared" ref="AI28:AI39" si="39">(EX28)</f>
        <v>0</v>
      </c>
      <c r="AJ28">
        <f t="shared" ref="AJ28:AJ39" si="40">(AS28)</f>
        <v>0</v>
      </c>
      <c r="AK28">
        <v>761.66</v>
      </c>
      <c r="AL28">
        <v>0</v>
      </c>
      <c r="AM28">
        <v>0</v>
      </c>
      <c r="AN28">
        <v>0</v>
      </c>
      <c r="AO28">
        <v>761.66</v>
      </c>
      <c r="AP28">
        <v>0</v>
      </c>
      <c r="AQ28">
        <v>94.97</v>
      </c>
      <c r="AR28">
        <v>0</v>
      </c>
      <c r="AS28">
        <v>0</v>
      </c>
      <c r="AT28">
        <v>82</v>
      </c>
      <c r="AU28">
        <v>62</v>
      </c>
      <c r="AV28">
        <v>1</v>
      </c>
      <c r="AW28">
        <v>1</v>
      </c>
      <c r="AZ28">
        <v>7.73</v>
      </c>
      <c r="BA28">
        <v>7.73</v>
      </c>
      <c r="BB28">
        <v>7.73</v>
      </c>
      <c r="BC28">
        <v>7.73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56001</v>
      </c>
      <c r="BN28">
        <v>0</v>
      </c>
      <c r="BO28" t="s">
        <v>20</v>
      </c>
      <c r="BP28">
        <v>1</v>
      </c>
      <c r="BQ28">
        <v>6</v>
      </c>
      <c r="BR28">
        <v>0</v>
      </c>
      <c r="BS28">
        <v>7.73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82</v>
      </c>
      <c r="CA28">
        <v>62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ref="CP28:CP39" si="41">(P28+Q28+S28)</f>
        <v>105.98</v>
      </c>
      <c r="CQ28">
        <f t="shared" ref="CQ28:CQ39" si="42">AC28*BC28</f>
        <v>0</v>
      </c>
      <c r="CR28">
        <f t="shared" ref="CR28:CR39" si="43">AD28*BB28</f>
        <v>0</v>
      </c>
      <c r="CS28">
        <f t="shared" ref="CS28:CS39" si="44">AE28*BS28</f>
        <v>0</v>
      </c>
      <c r="CT28">
        <f t="shared" ref="CT28:CT39" si="45">AF28*BA28</f>
        <v>5887.6318000000001</v>
      </c>
      <c r="CU28">
        <f t="shared" ref="CU28:CU39" si="46">AG28</f>
        <v>0</v>
      </c>
      <c r="CV28">
        <f t="shared" ref="CV28:CV39" si="47">AH28</f>
        <v>94.97</v>
      </c>
      <c r="CW28">
        <f t="shared" ref="CW28:CW39" si="48">AI28</f>
        <v>0</v>
      </c>
      <c r="CX28">
        <f t="shared" ref="CX28:CX39" si="49">AJ28</f>
        <v>0</v>
      </c>
      <c r="CY28">
        <f t="shared" ref="CY28:CY39" si="50">(((S28+R28)*AT28)/100)</f>
        <v>86.903600000000012</v>
      </c>
      <c r="CZ28">
        <f t="shared" ref="CZ28:CZ39" si="51">(((S28+R28)*AU28)/100)</f>
        <v>65.707599999999999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1005</v>
      </c>
      <c r="DV28" t="s">
        <v>18</v>
      </c>
      <c r="DW28" t="s">
        <v>18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94243556</v>
      </c>
      <c r="EF28">
        <v>6</v>
      </c>
      <c r="EG28" t="s">
        <v>21</v>
      </c>
      <c r="EH28">
        <v>0</v>
      </c>
      <c r="EI28" t="s">
        <v>3</v>
      </c>
      <c r="EJ28">
        <v>1</v>
      </c>
      <c r="EK28">
        <v>56001</v>
      </c>
      <c r="EL28" t="s">
        <v>22</v>
      </c>
      <c r="EM28" t="s">
        <v>23</v>
      </c>
      <c r="EO28" t="s">
        <v>3</v>
      </c>
      <c r="EQ28">
        <v>0</v>
      </c>
      <c r="ER28">
        <v>761.66</v>
      </c>
      <c r="ES28">
        <v>0</v>
      </c>
      <c r="ET28">
        <v>0</v>
      </c>
      <c r="EU28">
        <v>0</v>
      </c>
      <c r="EV28">
        <v>761.66</v>
      </c>
      <c r="EW28">
        <v>94.97</v>
      </c>
      <c r="EX28">
        <v>0</v>
      </c>
      <c r="EY28">
        <v>0</v>
      </c>
      <c r="FQ28">
        <v>0</v>
      </c>
      <c r="FR28">
        <f t="shared" ref="FR28:FR39" si="52">ROUND(IF(AND(BH28=3,BI28=3),P28,0),2)</f>
        <v>0</v>
      </c>
      <c r="FS28">
        <v>0</v>
      </c>
      <c r="FX28">
        <v>82</v>
      </c>
      <c r="FY28">
        <v>62</v>
      </c>
      <c r="GA28" t="s">
        <v>3</v>
      </c>
      <c r="GD28">
        <v>1</v>
      </c>
      <c r="GF28">
        <v>276471491</v>
      </c>
      <c r="GG28">
        <v>1</v>
      </c>
      <c r="GH28">
        <v>1</v>
      </c>
      <c r="GI28">
        <v>4</v>
      </c>
      <c r="GJ28">
        <v>0</v>
      </c>
      <c r="GK28">
        <v>0</v>
      </c>
      <c r="GL28">
        <f t="shared" ref="GL28:GL39" si="53">ROUND(IF(AND(BH28=3,BI28=3,FS28&lt;&gt;0),P28,0),2)</f>
        <v>0</v>
      </c>
      <c r="GM28">
        <f t="shared" ref="GM28:GM39" si="54">ROUND(O28+X28+Y28,2)+GX28</f>
        <v>258.58999999999997</v>
      </c>
      <c r="GN28">
        <f t="shared" ref="GN28:GN39" si="55">IF(OR(BI28=0,BI28=1),ROUND(O28+X28+Y28,2),0)</f>
        <v>258.58999999999997</v>
      </c>
      <c r="GO28">
        <f t="shared" ref="GO28:GO39" si="56">IF(BI28=2,ROUND(O28+X28+Y28,2),0)</f>
        <v>0</v>
      </c>
      <c r="GP28">
        <f t="shared" ref="GP28:GP39" si="57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39" si="58">ROUND((GT28),2)</f>
        <v>0</v>
      </c>
      <c r="GW28">
        <v>1</v>
      </c>
      <c r="GX28">
        <f t="shared" ref="GX28:GX39" si="59">ROUND(HC28*I28,2)</f>
        <v>0</v>
      </c>
      <c r="HA28">
        <v>0</v>
      </c>
      <c r="HB28">
        <v>0</v>
      </c>
      <c r="HC28">
        <f t="shared" ref="HC28:HC39" si="60">GV28*GW28</f>
        <v>0</v>
      </c>
      <c r="HE28" t="s">
        <v>3</v>
      </c>
      <c r="HF28" t="s">
        <v>3</v>
      </c>
      <c r="IK28">
        <v>0</v>
      </c>
    </row>
    <row r="29" spans="1:245" x14ac:dyDescent="0.2">
      <c r="A29">
        <v>18</v>
      </c>
      <c r="B29">
        <v>1</v>
      </c>
      <c r="C29">
        <v>2</v>
      </c>
      <c r="E29" t="s">
        <v>24</v>
      </c>
      <c r="F29" t="s">
        <v>25</v>
      </c>
      <c r="G29" t="s">
        <v>26</v>
      </c>
      <c r="H29" t="s">
        <v>27</v>
      </c>
      <c r="I29">
        <f>I28*J29</f>
        <v>6.3E-2</v>
      </c>
      <c r="J29">
        <v>3.5000000000000004</v>
      </c>
      <c r="O29">
        <f t="shared" si="21"/>
        <v>0</v>
      </c>
      <c r="P29">
        <f t="shared" si="22"/>
        <v>0</v>
      </c>
      <c r="Q29">
        <f t="shared" si="23"/>
        <v>0</v>
      </c>
      <c r="R29">
        <f t="shared" si="24"/>
        <v>0</v>
      </c>
      <c r="S29">
        <f t="shared" si="25"/>
        <v>0</v>
      </c>
      <c r="T29">
        <f t="shared" si="26"/>
        <v>0</v>
      </c>
      <c r="U29">
        <f t="shared" si="27"/>
        <v>0</v>
      </c>
      <c r="V29">
        <f t="shared" si="28"/>
        <v>0</v>
      </c>
      <c r="W29">
        <f t="shared" si="29"/>
        <v>0</v>
      </c>
      <c r="X29">
        <f t="shared" si="30"/>
        <v>0</v>
      </c>
      <c r="Y29">
        <f t="shared" si="31"/>
        <v>0</v>
      </c>
      <c r="AA29">
        <v>96554872</v>
      </c>
      <c r="AB29">
        <f t="shared" si="32"/>
        <v>0</v>
      </c>
      <c r="AC29">
        <f t="shared" si="33"/>
        <v>0</v>
      </c>
      <c r="AD29">
        <f t="shared" si="34"/>
        <v>0</v>
      </c>
      <c r="AE29">
        <f t="shared" si="35"/>
        <v>0</v>
      </c>
      <c r="AF29">
        <f t="shared" si="36"/>
        <v>0</v>
      </c>
      <c r="AG29">
        <f t="shared" si="37"/>
        <v>0</v>
      </c>
      <c r="AH29">
        <f t="shared" si="38"/>
        <v>0</v>
      </c>
      <c r="AI29">
        <f t="shared" si="39"/>
        <v>0</v>
      </c>
      <c r="AJ29">
        <f t="shared" si="40"/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82</v>
      </c>
      <c r="AU29">
        <v>62</v>
      </c>
      <c r="AV29">
        <v>1</v>
      </c>
      <c r="AW29">
        <v>1</v>
      </c>
      <c r="AZ29">
        <v>7.73</v>
      </c>
      <c r="BA29">
        <v>1</v>
      </c>
      <c r="BB29">
        <v>1</v>
      </c>
      <c r="BC29">
        <v>7.73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1</v>
      </c>
      <c r="BJ29" t="s">
        <v>3</v>
      </c>
      <c r="BM29">
        <v>56001</v>
      </c>
      <c r="BN29">
        <v>0</v>
      </c>
      <c r="BO29" t="s">
        <v>20</v>
      </c>
      <c r="BP29">
        <v>1</v>
      </c>
      <c r="BQ29">
        <v>6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82</v>
      </c>
      <c r="CA29">
        <v>62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41"/>
        <v>0</v>
      </c>
      <c r="CQ29">
        <f t="shared" si="42"/>
        <v>0</v>
      </c>
      <c r="CR29">
        <f t="shared" si="43"/>
        <v>0</v>
      </c>
      <c r="CS29">
        <f t="shared" si="44"/>
        <v>0</v>
      </c>
      <c r="CT29">
        <f t="shared" si="45"/>
        <v>0</v>
      </c>
      <c r="CU29">
        <f t="shared" si="46"/>
        <v>0</v>
      </c>
      <c r="CV29">
        <f t="shared" si="47"/>
        <v>0</v>
      </c>
      <c r="CW29">
        <f t="shared" si="48"/>
        <v>0</v>
      </c>
      <c r="CX29">
        <f t="shared" si="49"/>
        <v>0</v>
      </c>
      <c r="CY29">
        <f t="shared" si="50"/>
        <v>0</v>
      </c>
      <c r="CZ29">
        <f t="shared" si="51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1009</v>
      </c>
      <c r="DV29" t="s">
        <v>27</v>
      </c>
      <c r="DW29" t="s">
        <v>27</v>
      </c>
      <c r="DX29">
        <v>1000</v>
      </c>
      <c r="DZ29" t="s">
        <v>3</v>
      </c>
      <c r="EA29" t="s">
        <v>3</v>
      </c>
      <c r="EB29" t="s">
        <v>3</v>
      </c>
      <c r="EC29" t="s">
        <v>3</v>
      </c>
      <c r="EE29">
        <v>94243556</v>
      </c>
      <c r="EF29">
        <v>6</v>
      </c>
      <c r="EG29" t="s">
        <v>21</v>
      </c>
      <c r="EH29">
        <v>0</v>
      </c>
      <c r="EI29" t="s">
        <v>3</v>
      </c>
      <c r="EJ29">
        <v>1</v>
      </c>
      <c r="EK29">
        <v>56001</v>
      </c>
      <c r="EL29" t="s">
        <v>22</v>
      </c>
      <c r="EM29" t="s">
        <v>23</v>
      </c>
      <c r="EO29" t="s">
        <v>3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FQ29">
        <v>0</v>
      </c>
      <c r="FR29">
        <f t="shared" si="52"/>
        <v>0</v>
      </c>
      <c r="FS29">
        <v>0</v>
      </c>
      <c r="FX29">
        <v>82</v>
      </c>
      <c r="FY29">
        <v>62</v>
      </c>
      <c r="GA29" t="s">
        <v>3</v>
      </c>
      <c r="GD29">
        <v>1</v>
      </c>
      <c r="GF29">
        <v>2102561428</v>
      </c>
      <c r="GG29">
        <v>1</v>
      </c>
      <c r="GH29">
        <v>1</v>
      </c>
      <c r="GI29">
        <v>4</v>
      </c>
      <c r="GJ29">
        <v>0</v>
      </c>
      <c r="GK29">
        <v>0</v>
      </c>
      <c r="GL29">
        <f t="shared" si="53"/>
        <v>0</v>
      </c>
      <c r="GM29">
        <f t="shared" si="54"/>
        <v>0</v>
      </c>
      <c r="GN29">
        <f t="shared" si="55"/>
        <v>0</v>
      </c>
      <c r="GO29">
        <f t="shared" si="56"/>
        <v>0</v>
      </c>
      <c r="GP29">
        <f t="shared" si="57"/>
        <v>0</v>
      </c>
      <c r="GR29">
        <v>0</v>
      </c>
      <c r="GS29">
        <v>3</v>
      </c>
      <c r="GT29">
        <v>0</v>
      </c>
      <c r="GU29" t="s">
        <v>3</v>
      </c>
      <c r="GV29">
        <f t="shared" si="58"/>
        <v>0</v>
      </c>
      <c r="GW29">
        <v>1</v>
      </c>
      <c r="GX29">
        <f t="shared" si="59"/>
        <v>0</v>
      </c>
      <c r="HA29">
        <v>0</v>
      </c>
      <c r="HB29">
        <v>0</v>
      </c>
      <c r="HC29">
        <f t="shared" si="60"/>
        <v>0</v>
      </c>
      <c r="HE29" t="s">
        <v>3</v>
      </c>
      <c r="HF29" t="s">
        <v>3</v>
      </c>
      <c r="IK29">
        <v>0</v>
      </c>
    </row>
    <row r="30" spans="1:245" x14ac:dyDescent="0.2">
      <c r="A30">
        <v>17</v>
      </c>
      <c r="B30">
        <v>1</v>
      </c>
      <c r="C30">
        <f>ROW(SmtRes!A6)</f>
        <v>6</v>
      </c>
      <c r="D30">
        <f>ROW(EtalonRes!A6)</f>
        <v>6</v>
      </c>
      <c r="E30" t="s">
        <v>28</v>
      </c>
      <c r="F30" t="s">
        <v>29</v>
      </c>
      <c r="G30" t="s">
        <v>30</v>
      </c>
      <c r="H30" t="s">
        <v>18</v>
      </c>
      <c r="I30">
        <f>ROUND(65.2/100,4)</f>
        <v>0.65200000000000002</v>
      </c>
      <c r="J30">
        <v>0</v>
      </c>
      <c r="O30">
        <f t="shared" si="21"/>
        <v>2010.29</v>
      </c>
      <c r="P30">
        <f t="shared" si="22"/>
        <v>0</v>
      </c>
      <c r="Q30">
        <f t="shared" si="23"/>
        <v>146.51</v>
      </c>
      <c r="R30">
        <f t="shared" si="24"/>
        <v>63.3</v>
      </c>
      <c r="S30">
        <f t="shared" si="25"/>
        <v>1863.78</v>
      </c>
      <c r="T30">
        <f t="shared" si="26"/>
        <v>0</v>
      </c>
      <c r="U30">
        <f t="shared" si="27"/>
        <v>30.06372</v>
      </c>
      <c r="V30">
        <f t="shared" si="28"/>
        <v>0.60636000000000001</v>
      </c>
      <c r="W30">
        <f t="shared" si="29"/>
        <v>0</v>
      </c>
      <c r="X30">
        <f t="shared" si="30"/>
        <v>1580.21</v>
      </c>
      <c r="Y30">
        <f t="shared" si="31"/>
        <v>1194.79</v>
      </c>
      <c r="AA30">
        <v>96554872</v>
      </c>
      <c r="AB30">
        <f t="shared" si="32"/>
        <v>398.87</v>
      </c>
      <c r="AC30">
        <f t="shared" si="33"/>
        <v>0</v>
      </c>
      <c r="AD30">
        <f t="shared" si="34"/>
        <v>29.07</v>
      </c>
      <c r="AE30">
        <f t="shared" si="35"/>
        <v>12.56</v>
      </c>
      <c r="AF30">
        <f t="shared" si="36"/>
        <v>369.8</v>
      </c>
      <c r="AG30">
        <f t="shared" si="37"/>
        <v>0</v>
      </c>
      <c r="AH30">
        <f t="shared" si="38"/>
        <v>46.11</v>
      </c>
      <c r="AI30">
        <f t="shared" si="39"/>
        <v>0.93</v>
      </c>
      <c r="AJ30">
        <f t="shared" si="40"/>
        <v>0</v>
      </c>
      <c r="AK30">
        <v>398.87</v>
      </c>
      <c r="AL30">
        <v>0</v>
      </c>
      <c r="AM30">
        <v>29.07</v>
      </c>
      <c r="AN30">
        <v>12.56</v>
      </c>
      <c r="AO30">
        <v>369.8</v>
      </c>
      <c r="AP30">
        <v>0</v>
      </c>
      <c r="AQ30">
        <v>46.11</v>
      </c>
      <c r="AR30">
        <v>0.93</v>
      </c>
      <c r="AS30">
        <v>0</v>
      </c>
      <c r="AT30">
        <v>82</v>
      </c>
      <c r="AU30">
        <v>62</v>
      </c>
      <c r="AV30">
        <v>1</v>
      </c>
      <c r="AW30">
        <v>1</v>
      </c>
      <c r="AZ30">
        <v>7.73</v>
      </c>
      <c r="BA30">
        <v>7.73</v>
      </c>
      <c r="BB30">
        <v>7.73</v>
      </c>
      <c r="BC30">
        <v>7.73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31</v>
      </c>
      <c r="BM30">
        <v>56001</v>
      </c>
      <c r="BN30">
        <v>0</v>
      </c>
      <c r="BO30" t="s">
        <v>20</v>
      </c>
      <c r="BP30">
        <v>1</v>
      </c>
      <c r="BQ30">
        <v>6</v>
      </c>
      <c r="BR30">
        <v>0</v>
      </c>
      <c r="BS30">
        <v>7.73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82</v>
      </c>
      <c r="CA30">
        <v>62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41"/>
        <v>2010.29</v>
      </c>
      <c r="CQ30">
        <f t="shared" si="42"/>
        <v>0</v>
      </c>
      <c r="CR30">
        <f t="shared" si="43"/>
        <v>224.71110000000002</v>
      </c>
      <c r="CS30">
        <f t="shared" si="44"/>
        <v>97.088800000000006</v>
      </c>
      <c r="CT30">
        <f t="shared" si="45"/>
        <v>2858.5540000000001</v>
      </c>
      <c r="CU30">
        <f t="shared" si="46"/>
        <v>0</v>
      </c>
      <c r="CV30">
        <f t="shared" si="47"/>
        <v>46.11</v>
      </c>
      <c r="CW30">
        <f t="shared" si="48"/>
        <v>0.93</v>
      </c>
      <c r="CX30">
        <f t="shared" si="49"/>
        <v>0</v>
      </c>
      <c r="CY30">
        <f t="shared" si="50"/>
        <v>1580.2056</v>
      </c>
      <c r="CZ30">
        <f t="shared" si="51"/>
        <v>1194.7895999999998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1005</v>
      </c>
      <c r="DV30" t="s">
        <v>18</v>
      </c>
      <c r="DW30" t="s">
        <v>18</v>
      </c>
      <c r="DX30">
        <v>100</v>
      </c>
      <c r="DZ30" t="s">
        <v>3</v>
      </c>
      <c r="EA30" t="s">
        <v>3</v>
      </c>
      <c r="EB30" t="s">
        <v>3</v>
      </c>
      <c r="EC30" t="s">
        <v>3</v>
      </c>
      <c r="EE30">
        <v>94243556</v>
      </c>
      <c r="EF30">
        <v>6</v>
      </c>
      <c r="EG30" t="s">
        <v>21</v>
      </c>
      <c r="EH30">
        <v>0</v>
      </c>
      <c r="EI30" t="s">
        <v>3</v>
      </c>
      <c r="EJ30">
        <v>1</v>
      </c>
      <c r="EK30">
        <v>56001</v>
      </c>
      <c r="EL30" t="s">
        <v>22</v>
      </c>
      <c r="EM30" t="s">
        <v>23</v>
      </c>
      <c r="EO30" t="s">
        <v>3</v>
      </c>
      <c r="EQ30">
        <v>0</v>
      </c>
      <c r="ER30">
        <v>398.87</v>
      </c>
      <c r="ES30">
        <v>0</v>
      </c>
      <c r="ET30">
        <v>29.07</v>
      </c>
      <c r="EU30">
        <v>12.56</v>
      </c>
      <c r="EV30">
        <v>369.8</v>
      </c>
      <c r="EW30">
        <v>46.11</v>
      </c>
      <c r="EX30">
        <v>0.93</v>
      </c>
      <c r="EY30">
        <v>0</v>
      </c>
      <c r="FQ30">
        <v>0</v>
      </c>
      <c r="FR30">
        <f t="shared" si="52"/>
        <v>0</v>
      </c>
      <c r="FS30">
        <v>0</v>
      </c>
      <c r="FX30">
        <v>82</v>
      </c>
      <c r="FY30">
        <v>62</v>
      </c>
      <c r="GA30" t="s">
        <v>3</v>
      </c>
      <c r="GD30">
        <v>1</v>
      </c>
      <c r="GF30">
        <v>1264772621</v>
      </c>
      <c r="GG30">
        <v>1</v>
      </c>
      <c r="GH30">
        <v>1</v>
      </c>
      <c r="GI30">
        <v>4</v>
      </c>
      <c r="GJ30">
        <v>0</v>
      </c>
      <c r="GK30">
        <v>0</v>
      </c>
      <c r="GL30">
        <f t="shared" si="53"/>
        <v>0</v>
      </c>
      <c r="GM30">
        <f t="shared" si="54"/>
        <v>4785.29</v>
      </c>
      <c r="GN30">
        <f t="shared" si="55"/>
        <v>4785.29</v>
      </c>
      <c r="GO30">
        <f t="shared" si="56"/>
        <v>0</v>
      </c>
      <c r="GP30">
        <f t="shared" si="57"/>
        <v>0</v>
      </c>
      <c r="GR30">
        <v>0</v>
      </c>
      <c r="GS30">
        <v>3</v>
      </c>
      <c r="GT30">
        <v>0</v>
      </c>
      <c r="GU30" t="s">
        <v>3</v>
      </c>
      <c r="GV30">
        <f t="shared" si="58"/>
        <v>0</v>
      </c>
      <c r="GW30">
        <v>1</v>
      </c>
      <c r="GX30">
        <f t="shared" si="59"/>
        <v>0</v>
      </c>
      <c r="HA30">
        <v>0</v>
      </c>
      <c r="HB30">
        <v>0</v>
      </c>
      <c r="HC30">
        <f t="shared" si="60"/>
        <v>0</v>
      </c>
      <c r="HE30" t="s">
        <v>3</v>
      </c>
      <c r="HF30" t="s">
        <v>3</v>
      </c>
      <c r="IK30">
        <v>0</v>
      </c>
    </row>
    <row r="31" spans="1:245" x14ac:dyDescent="0.2">
      <c r="A31">
        <v>18</v>
      </c>
      <c r="B31">
        <v>1</v>
      </c>
      <c r="C31">
        <v>6</v>
      </c>
      <c r="E31" t="s">
        <v>32</v>
      </c>
      <c r="F31" t="s">
        <v>25</v>
      </c>
      <c r="G31" t="s">
        <v>26</v>
      </c>
      <c r="H31" t="s">
        <v>27</v>
      </c>
      <c r="I31">
        <f>I30*J31</f>
        <v>2.2298399999999998</v>
      </c>
      <c r="J31">
        <v>3.4199999999999995</v>
      </c>
      <c r="O31">
        <f t="shared" si="21"/>
        <v>0</v>
      </c>
      <c r="P31">
        <f t="shared" si="22"/>
        <v>0</v>
      </c>
      <c r="Q31">
        <f t="shared" si="23"/>
        <v>0</v>
      </c>
      <c r="R31">
        <f t="shared" si="24"/>
        <v>0</v>
      </c>
      <c r="S31">
        <f t="shared" si="25"/>
        <v>0</v>
      </c>
      <c r="T31">
        <f t="shared" si="26"/>
        <v>0</v>
      </c>
      <c r="U31">
        <f t="shared" si="27"/>
        <v>0</v>
      </c>
      <c r="V31">
        <f t="shared" si="28"/>
        <v>0</v>
      </c>
      <c r="W31">
        <f t="shared" si="29"/>
        <v>0</v>
      </c>
      <c r="X31">
        <f t="shared" si="30"/>
        <v>0</v>
      </c>
      <c r="Y31">
        <f t="shared" si="31"/>
        <v>0</v>
      </c>
      <c r="AA31">
        <v>96554872</v>
      </c>
      <c r="AB31">
        <f t="shared" si="32"/>
        <v>0</v>
      </c>
      <c r="AC31">
        <f t="shared" si="33"/>
        <v>0</v>
      </c>
      <c r="AD31">
        <f t="shared" si="34"/>
        <v>0</v>
      </c>
      <c r="AE31">
        <f t="shared" si="35"/>
        <v>0</v>
      </c>
      <c r="AF31">
        <f t="shared" si="36"/>
        <v>0</v>
      </c>
      <c r="AG31">
        <f t="shared" si="37"/>
        <v>0</v>
      </c>
      <c r="AH31">
        <f t="shared" si="38"/>
        <v>0</v>
      </c>
      <c r="AI31">
        <f t="shared" si="39"/>
        <v>0</v>
      </c>
      <c r="AJ31">
        <f t="shared" si="40"/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82</v>
      </c>
      <c r="AU31">
        <v>62</v>
      </c>
      <c r="AV31">
        <v>1</v>
      </c>
      <c r="AW31">
        <v>1</v>
      </c>
      <c r="AZ31">
        <v>7.73</v>
      </c>
      <c r="BA31">
        <v>1</v>
      </c>
      <c r="BB31">
        <v>1</v>
      </c>
      <c r="BC31">
        <v>7.73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3</v>
      </c>
      <c r="BM31">
        <v>56001</v>
      </c>
      <c r="BN31">
        <v>0</v>
      </c>
      <c r="BO31" t="s">
        <v>20</v>
      </c>
      <c r="BP31">
        <v>1</v>
      </c>
      <c r="BQ31">
        <v>6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82</v>
      </c>
      <c r="CA31">
        <v>62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41"/>
        <v>0</v>
      </c>
      <c r="CQ31">
        <f t="shared" si="42"/>
        <v>0</v>
      </c>
      <c r="CR31">
        <f t="shared" si="43"/>
        <v>0</v>
      </c>
      <c r="CS31">
        <f t="shared" si="44"/>
        <v>0</v>
      </c>
      <c r="CT31">
        <f t="shared" si="45"/>
        <v>0</v>
      </c>
      <c r="CU31">
        <f t="shared" si="46"/>
        <v>0</v>
      </c>
      <c r="CV31">
        <f t="shared" si="47"/>
        <v>0</v>
      </c>
      <c r="CW31">
        <f t="shared" si="48"/>
        <v>0</v>
      </c>
      <c r="CX31">
        <f t="shared" si="49"/>
        <v>0</v>
      </c>
      <c r="CY31">
        <f t="shared" si="50"/>
        <v>0</v>
      </c>
      <c r="CZ31">
        <f t="shared" si="51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1009</v>
      </c>
      <c r="DV31" t="s">
        <v>27</v>
      </c>
      <c r="DW31" t="s">
        <v>27</v>
      </c>
      <c r="DX31">
        <v>1000</v>
      </c>
      <c r="DZ31" t="s">
        <v>3</v>
      </c>
      <c r="EA31" t="s">
        <v>3</v>
      </c>
      <c r="EB31" t="s">
        <v>3</v>
      </c>
      <c r="EC31" t="s">
        <v>3</v>
      </c>
      <c r="EE31">
        <v>94243556</v>
      </c>
      <c r="EF31">
        <v>6</v>
      </c>
      <c r="EG31" t="s">
        <v>21</v>
      </c>
      <c r="EH31">
        <v>0</v>
      </c>
      <c r="EI31" t="s">
        <v>3</v>
      </c>
      <c r="EJ31">
        <v>1</v>
      </c>
      <c r="EK31">
        <v>56001</v>
      </c>
      <c r="EL31" t="s">
        <v>22</v>
      </c>
      <c r="EM31" t="s">
        <v>23</v>
      </c>
      <c r="EO31" t="s">
        <v>3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52"/>
        <v>0</v>
      </c>
      <c r="FS31">
        <v>0</v>
      </c>
      <c r="FX31">
        <v>82</v>
      </c>
      <c r="FY31">
        <v>62</v>
      </c>
      <c r="GA31" t="s">
        <v>3</v>
      </c>
      <c r="GD31">
        <v>1</v>
      </c>
      <c r="GF31">
        <v>2102561428</v>
      </c>
      <c r="GG31">
        <v>1</v>
      </c>
      <c r="GH31">
        <v>1</v>
      </c>
      <c r="GI31">
        <v>4</v>
      </c>
      <c r="GJ31">
        <v>0</v>
      </c>
      <c r="GK31">
        <v>0</v>
      </c>
      <c r="GL31">
        <f t="shared" si="53"/>
        <v>0</v>
      </c>
      <c r="GM31">
        <f t="shared" si="54"/>
        <v>0</v>
      </c>
      <c r="GN31">
        <f t="shared" si="55"/>
        <v>0</v>
      </c>
      <c r="GO31">
        <f t="shared" si="56"/>
        <v>0</v>
      </c>
      <c r="GP31">
        <f t="shared" si="57"/>
        <v>0</v>
      </c>
      <c r="GR31">
        <v>0</v>
      </c>
      <c r="GS31">
        <v>3</v>
      </c>
      <c r="GT31">
        <v>0</v>
      </c>
      <c r="GU31" t="s">
        <v>3</v>
      </c>
      <c r="GV31">
        <f t="shared" si="58"/>
        <v>0</v>
      </c>
      <c r="GW31">
        <v>1</v>
      </c>
      <c r="GX31">
        <f t="shared" si="59"/>
        <v>0</v>
      </c>
      <c r="HA31">
        <v>0</v>
      </c>
      <c r="HB31">
        <v>0</v>
      </c>
      <c r="HC31">
        <f t="shared" si="60"/>
        <v>0</v>
      </c>
      <c r="HE31" t="s">
        <v>3</v>
      </c>
      <c r="HF31" t="s">
        <v>3</v>
      </c>
      <c r="IK31">
        <v>0</v>
      </c>
    </row>
    <row r="32" spans="1:245" x14ac:dyDescent="0.2">
      <c r="A32">
        <v>17</v>
      </c>
      <c r="B32">
        <v>1</v>
      </c>
      <c r="C32">
        <f>ROW(SmtRes!A12)</f>
        <v>12</v>
      </c>
      <c r="D32">
        <f>ROW(EtalonRes!A12)</f>
        <v>12</v>
      </c>
      <c r="E32" t="s">
        <v>33</v>
      </c>
      <c r="F32" t="s">
        <v>34</v>
      </c>
      <c r="G32" t="s">
        <v>35</v>
      </c>
      <c r="H32" t="s">
        <v>36</v>
      </c>
      <c r="I32">
        <f>ROUND(13/100,4)</f>
        <v>0.13</v>
      </c>
      <c r="J32">
        <v>0</v>
      </c>
      <c r="O32">
        <f t="shared" si="21"/>
        <v>1154.42</v>
      </c>
      <c r="P32">
        <f t="shared" si="22"/>
        <v>0</v>
      </c>
      <c r="Q32">
        <f t="shared" si="23"/>
        <v>97.55</v>
      </c>
      <c r="R32">
        <f t="shared" si="24"/>
        <v>9.5</v>
      </c>
      <c r="S32">
        <f t="shared" si="25"/>
        <v>1056.8699999999999</v>
      </c>
      <c r="T32">
        <f t="shared" si="26"/>
        <v>0</v>
      </c>
      <c r="U32">
        <f t="shared" si="27"/>
        <v>16.7349</v>
      </c>
      <c r="V32">
        <f t="shared" si="28"/>
        <v>9.0999999999999998E-2</v>
      </c>
      <c r="W32">
        <f t="shared" si="29"/>
        <v>0</v>
      </c>
      <c r="X32">
        <f t="shared" si="30"/>
        <v>874.42</v>
      </c>
      <c r="Y32">
        <f t="shared" si="31"/>
        <v>661.15</v>
      </c>
      <c r="AA32">
        <v>96554872</v>
      </c>
      <c r="AB32">
        <f t="shared" si="32"/>
        <v>1148.79</v>
      </c>
      <c r="AC32">
        <f t="shared" si="33"/>
        <v>0</v>
      </c>
      <c r="AD32">
        <f t="shared" si="34"/>
        <v>97.07</v>
      </c>
      <c r="AE32">
        <f t="shared" si="35"/>
        <v>9.4499999999999993</v>
      </c>
      <c r="AF32">
        <f t="shared" si="36"/>
        <v>1051.72</v>
      </c>
      <c r="AG32">
        <f t="shared" si="37"/>
        <v>0</v>
      </c>
      <c r="AH32">
        <f t="shared" si="38"/>
        <v>128.72999999999999</v>
      </c>
      <c r="AI32">
        <f t="shared" si="39"/>
        <v>0.7</v>
      </c>
      <c r="AJ32">
        <f t="shared" si="40"/>
        <v>0</v>
      </c>
      <c r="AK32">
        <v>1148.79</v>
      </c>
      <c r="AL32">
        <v>0</v>
      </c>
      <c r="AM32">
        <v>97.07</v>
      </c>
      <c r="AN32">
        <v>9.4499999999999993</v>
      </c>
      <c r="AO32">
        <v>1051.72</v>
      </c>
      <c r="AP32">
        <v>0</v>
      </c>
      <c r="AQ32">
        <v>128.72999999999999</v>
      </c>
      <c r="AR32">
        <v>0.7</v>
      </c>
      <c r="AS32">
        <v>0</v>
      </c>
      <c r="AT32">
        <v>82</v>
      </c>
      <c r="AU32">
        <v>62</v>
      </c>
      <c r="AV32">
        <v>1</v>
      </c>
      <c r="AW32">
        <v>1</v>
      </c>
      <c r="AZ32">
        <v>7.73</v>
      </c>
      <c r="BA32">
        <v>7.73</v>
      </c>
      <c r="BB32">
        <v>7.73</v>
      </c>
      <c r="BC32">
        <v>7.73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37</v>
      </c>
      <c r="BM32">
        <v>56001</v>
      </c>
      <c r="BN32">
        <v>0</v>
      </c>
      <c r="BO32" t="s">
        <v>20</v>
      </c>
      <c r="BP32">
        <v>1</v>
      </c>
      <c r="BQ32">
        <v>6</v>
      </c>
      <c r="BR32">
        <v>0</v>
      </c>
      <c r="BS32">
        <v>7.73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82</v>
      </c>
      <c r="CA32">
        <v>62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41"/>
        <v>1154.4199999999998</v>
      </c>
      <c r="CQ32">
        <f t="shared" si="42"/>
        <v>0</v>
      </c>
      <c r="CR32">
        <f t="shared" si="43"/>
        <v>750.35109999999997</v>
      </c>
      <c r="CS32">
        <f t="shared" si="44"/>
        <v>73.048500000000004</v>
      </c>
      <c r="CT32">
        <f t="shared" si="45"/>
        <v>8129.7956000000004</v>
      </c>
      <c r="CU32">
        <f t="shared" si="46"/>
        <v>0</v>
      </c>
      <c r="CV32">
        <f t="shared" si="47"/>
        <v>128.72999999999999</v>
      </c>
      <c r="CW32">
        <f t="shared" si="48"/>
        <v>0.7</v>
      </c>
      <c r="CX32">
        <f t="shared" si="49"/>
        <v>0</v>
      </c>
      <c r="CY32">
        <f t="shared" si="50"/>
        <v>874.42340000000002</v>
      </c>
      <c r="CZ32">
        <f t="shared" si="51"/>
        <v>661.1493999999999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36</v>
      </c>
      <c r="DW32" t="s">
        <v>36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94243556</v>
      </c>
      <c r="EF32">
        <v>6</v>
      </c>
      <c r="EG32" t="s">
        <v>21</v>
      </c>
      <c r="EH32">
        <v>0</v>
      </c>
      <c r="EI32" t="s">
        <v>3</v>
      </c>
      <c r="EJ32">
        <v>1</v>
      </c>
      <c r="EK32">
        <v>56001</v>
      </c>
      <c r="EL32" t="s">
        <v>22</v>
      </c>
      <c r="EM32" t="s">
        <v>23</v>
      </c>
      <c r="EO32" t="s">
        <v>3</v>
      </c>
      <c r="EQ32">
        <v>0</v>
      </c>
      <c r="ER32">
        <v>1148.79</v>
      </c>
      <c r="ES32">
        <v>0</v>
      </c>
      <c r="ET32">
        <v>97.07</v>
      </c>
      <c r="EU32">
        <v>9.4499999999999993</v>
      </c>
      <c r="EV32">
        <v>1051.72</v>
      </c>
      <c r="EW32">
        <v>128.72999999999999</v>
      </c>
      <c r="EX32">
        <v>0.7</v>
      </c>
      <c r="EY32">
        <v>0</v>
      </c>
      <c r="FQ32">
        <v>0</v>
      </c>
      <c r="FR32">
        <f t="shared" si="52"/>
        <v>0</v>
      </c>
      <c r="FS32">
        <v>0</v>
      </c>
      <c r="FX32">
        <v>82</v>
      </c>
      <c r="FY32">
        <v>62</v>
      </c>
      <c r="GA32" t="s">
        <v>3</v>
      </c>
      <c r="GD32">
        <v>1</v>
      </c>
      <c r="GF32">
        <v>-567821302</v>
      </c>
      <c r="GG32">
        <v>1</v>
      </c>
      <c r="GH32">
        <v>1</v>
      </c>
      <c r="GI32">
        <v>4</v>
      </c>
      <c r="GJ32">
        <v>0</v>
      </c>
      <c r="GK32">
        <v>0</v>
      </c>
      <c r="GL32">
        <f t="shared" si="53"/>
        <v>0</v>
      </c>
      <c r="GM32">
        <f t="shared" si="54"/>
        <v>2689.99</v>
      </c>
      <c r="GN32">
        <f t="shared" si="55"/>
        <v>2689.99</v>
      </c>
      <c r="GO32">
        <f t="shared" si="56"/>
        <v>0</v>
      </c>
      <c r="GP32">
        <f t="shared" si="57"/>
        <v>0</v>
      </c>
      <c r="GR32">
        <v>0</v>
      </c>
      <c r="GS32">
        <v>3</v>
      </c>
      <c r="GT32">
        <v>0</v>
      </c>
      <c r="GU32" t="s">
        <v>3</v>
      </c>
      <c r="GV32">
        <f t="shared" si="58"/>
        <v>0</v>
      </c>
      <c r="GW32">
        <v>1</v>
      </c>
      <c r="GX32">
        <f t="shared" si="59"/>
        <v>0</v>
      </c>
      <c r="HA32">
        <v>0</v>
      </c>
      <c r="HB32">
        <v>0</v>
      </c>
      <c r="HC32">
        <f t="shared" si="60"/>
        <v>0</v>
      </c>
      <c r="HE32" t="s">
        <v>3</v>
      </c>
      <c r="HF32" t="s">
        <v>3</v>
      </c>
      <c r="IK32">
        <v>0</v>
      </c>
    </row>
    <row r="33" spans="1:245" x14ac:dyDescent="0.2">
      <c r="A33">
        <v>18</v>
      </c>
      <c r="B33">
        <v>1</v>
      </c>
      <c r="C33">
        <v>12</v>
      </c>
      <c r="E33" t="s">
        <v>38</v>
      </c>
      <c r="F33" t="s">
        <v>25</v>
      </c>
      <c r="G33" t="s">
        <v>26</v>
      </c>
      <c r="H33" t="s">
        <v>27</v>
      </c>
      <c r="I33">
        <f>I32*J33</f>
        <v>1.3857999999999999</v>
      </c>
      <c r="J33">
        <v>10.659999999999998</v>
      </c>
      <c r="O33">
        <f t="shared" si="21"/>
        <v>0</v>
      </c>
      <c r="P33">
        <f t="shared" si="22"/>
        <v>0</v>
      </c>
      <c r="Q33">
        <f t="shared" si="23"/>
        <v>0</v>
      </c>
      <c r="R33">
        <f t="shared" si="24"/>
        <v>0</v>
      </c>
      <c r="S33">
        <f t="shared" si="25"/>
        <v>0</v>
      </c>
      <c r="T33">
        <f t="shared" si="26"/>
        <v>0</v>
      </c>
      <c r="U33">
        <f t="shared" si="27"/>
        <v>0</v>
      </c>
      <c r="V33">
        <f t="shared" si="28"/>
        <v>0</v>
      </c>
      <c r="W33">
        <f t="shared" si="29"/>
        <v>0</v>
      </c>
      <c r="X33">
        <f t="shared" si="30"/>
        <v>0</v>
      </c>
      <c r="Y33">
        <f t="shared" si="31"/>
        <v>0</v>
      </c>
      <c r="AA33">
        <v>96554872</v>
      </c>
      <c r="AB33">
        <f t="shared" si="32"/>
        <v>0</v>
      </c>
      <c r="AC33">
        <f t="shared" si="33"/>
        <v>0</v>
      </c>
      <c r="AD33">
        <f t="shared" si="34"/>
        <v>0</v>
      </c>
      <c r="AE33">
        <f t="shared" si="35"/>
        <v>0</v>
      </c>
      <c r="AF33">
        <f t="shared" si="36"/>
        <v>0</v>
      </c>
      <c r="AG33">
        <f t="shared" si="37"/>
        <v>0</v>
      </c>
      <c r="AH33">
        <f t="shared" si="38"/>
        <v>0</v>
      </c>
      <c r="AI33">
        <f t="shared" si="39"/>
        <v>0</v>
      </c>
      <c r="AJ33">
        <f t="shared" si="40"/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82</v>
      </c>
      <c r="AU33">
        <v>62</v>
      </c>
      <c r="AV33">
        <v>1</v>
      </c>
      <c r="AW33">
        <v>1</v>
      </c>
      <c r="AZ33">
        <v>7.73</v>
      </c>
      <c r="BA33">
        <v>1</v>
      </c>
      <c r="BB33">
        <v>1</v>
      </c>
      <c r="BC33">
        <v>7.73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1</v>
      </c>
      <c r="BJ33" t="s">
        <v>3</v>
      </c>
      <c r="BM33">
        <v>56001</v>
      </c>
      <c r="BN33">
        <v>0</v>
      </c>
      <c r="BO33" t="s">
        <v>20</v>
      </c>
      <c r="BP33">
        <v>1</v>
      </c>
      <c r="BQ33">
        <v>6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82</v>
      </c>
      <c r="CA33">
        <v>62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41"/>
        <v>0</v>
      </c>
      <c r="CQ33">
        <f t="shared" si="42"/>
        <v>0</v>
      </c>
      <c r="CR33">
        <f t="shared" si="43"/>
        <v>0</v>
      </c>
      <c r="CS33">
        <f t="shared" si="44"/>
        <v>0</v>
      </c>
      <c r="CT33">
        <f t="shared" si="45"/>
        <v>0</v>
      </c>
      <c r="CU33">
        <f t="shared" si="46"/>
        <v>0</v>
      </c>
      <c r="CV33">
        <f t="shared" si="47"/>
        <v>0</v>
      </c>
      <c r="CW33">
        <f t="shared" si="48"/>
        <v>0</v>
      </c>
      <c r="CX33">
        <f t="shared" si="49"/>
        <v>0</v>
      </c>
      <c r="CY33">
        <f t="shared" si="50"/>
        <v>0</v>
      </c>
      <c r="CZ33">
        <f t="shared" si="51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1009</v>
      </c>
      <c r="DV33" t="s">
        <v>27</v>
      </c>
      <c r="DW33" t="s">
        <v>27</v>
      </c>
      <c r="DX33">
        <v>1000</v>
      </c>
      <c r="DZ33" t="s">
        <v>3</v>
      </c>
      <c r="EA33" t="s">
        <v>3</v>
      </c>
      <c r="EB33" t="s">
        <v>3</v>
      </c>
      <c r="EC33" t="s">
        <v>3</v>
      </c>
      <c r="EE33">
        <v>94243556</v>
      </c>
      <c r="EF33">
        <v>6</v>
      </c>
      <c r="EG33" t="s">
        <v>21</v>
      </c>
      <c r="EH33">
        <v>0</v>
      </c>
      <c r="EI33" t="s">
        <v>3</v>
      </c>
      <c r="EJ33">
        <v>1</v>
      </c>
      <c r="EK33">
        <v>56001</v>
      </c>
      <c r="EL33" t="s">
        <v>22</v>
      </c>
      <c r="EM33" t="s">
        <v>23</v>
      </c>
      <c r="EO33" t="s">
        <v>3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FQ33">
        <v>0</v>
      </c>
      <c r="FR33">
        <f t="shared" si="52"/>
        <v>0</v>
      </c>
      <c r="FS33">
        <v>0</v>
      </c>
      <c r="FX33">
        <v>82</v>
      </c>
      <c r="FY33">
        <v>62</v>
      </c>
      <c r="GA33" t="s">
        <v>3</v>
      </c>
      <c r="GD33">
        <v>1</v>
      </c>
      <c r="GF33">
        <v>2102561428</v>
      </c>
      <c r="GG33">
        <v>1</v>
      </c>
      <c r="GH33">
        <v>1</v>
      </c>
      <c r="GI33">
        <v>4</v>
      </c>
      <c r="GJ33">
        <v>0</v>
      </c>
      <c r="GK33">
        <v>0</v>
      </c>
      <c r="GL33">
        <f t="shared" si="53"/>
        <v>0</v>
      </c>
      <c r="GM33">
        <f t="shared" si="54"/>
        <v>0</v>
      </c>
      <c r="GN33">
        <f t="shared" si="55"/>
        <v>0</v>
      </c>
      <c r="GO33">
        <f t="shared" si="56"/>
        <v>0</v>
      </c>
      <c r="GP33">
        <f t="shared" si="57"/>
        <v>0</v>
      </c>
      <c r="GR33">
        <v>0</v>
      </c>
      <c r="GS33">
        <v>3</v>
      </c>
      <c r="GT33">
        <v>0</v>
      </c>
      <c r="GU33" t="s">
        <v>3</v>
      </c>
      <c r="GV33">
        <f t="shared" si="58"/>
        <v>0</v>
      </c>
      <c r="GW33">
        <v>1</v>
      </c>
      <c r="GX33">
        <f t="shared" si="59"/>
        <v>0</v>
      </c>
      <c r="HA33">
        <v>0</v>
      </c>
      <c r="HB33">
        <v>0</v>
      </c>
      <c r="HC33">
        <f t="shared" si="60"/>
        <v>0</v>
      </c>
      <c r="HE33" t="s">
        <v>3</v>
      </c>
      <c r="HF33" t="s">
        <v>3</v>
      </c>
      <c r="IK33">
        <v>0</v>
      </c>
    </row>
    <row r="34" spans="1:245" x14ac:dyDescent="0.2">
      <c r="A34">
        <v>17</v>
      </c>
      <c r="B34">
        <v>1</v>
      </c>
      <c r="C34">
        <f>ROW(SmtRes!A14)</f>
        <v>14</v>
      </c>
      <c r="D34">
        <f>ROW(EtalonRes!A14)</f>
        <v>14</v>
      </c>
      <c r="E34" t="s">
        <v>39</v>
      </c>
      <c r="F34" t="s">
        <v>40</v>
      </c>
      <c r="G34" t="s">
        <v>41</v>
      </c>
      <c r="H34" t="s">
        <v>42</v>
      </c>
      <c r="I34">
        <f>ROUND(30/100,4)</f>
        <v>0.3</v>
      </c>
      <c r="J34">
        <v>0</v>
      </c>
      <c r="O34">
        <f t="shared" si="21"/>
        <v>77.52</v>
      </c>
      <c r="P34">
        <f t="shared" si="22"/>
        <v>0</v>
      </c>
      <c r="Q34">
        <f t="shared" si="23"/>
        <v>0</v>
      </c>
      <c r="R34">
        <f t="shared" si="24"/>
        <v>0</v>
      </c>
      <c r="S34">
        <f t="shared" si="25"/>
        <v>77.52</v>
      </c>
      <c r="T34">
        <f t="shared" si="26"/>
        <v>0</v>
      </c>
      <c r="U34">
        <f t="shared" si="27"/>
        <v>1.2629999999999999</v>
      </c>
      <c r="V34">
        <f t="shared" si="28"/>
        <v>0</v>
      </c>
      <c r="W34">
        <f t="shared" si="29"/>
        <v>0</v>
      </c>
      <c r="X34">
        <f t="shared" si="30"/>
        <v>63.57</v>
      </c>
      <c r="Y34">
        <f t="shared" si="31"/>
        <v>48.06</v>
      </c>
      <c r="AA34">
        <v>96554872</v>
      </c>
      <c r="AB34">
        <f t="shared" si="32"/>
        <v>33.43</v>
      </c>
      <c r="AC34">
        <f t="shared" si="33"/>
        <v>0</v>
      </c>
      <c r="AD34">
        <f t="shared" si="34"/>
        <v>0</v>
      </c>
      <c r="AE34">
        <f t="shared" si="35"/>
        <v>0</v>
      </c>
      <c r="AF34">
        <f t="shared" si="36"/>
        <v>33.43</v>
      </c>
      <c r="AG34">
        <f t="shared" si="37"/>
        <v>0</v>
      </c>
      <c r="AH34">
        <f t="shared" si="38"/>
        <v>4.21</v>
      </c>
      <c r="AI34">
        <f t="shared" si="39"/>
        <v>0</v>
      </c>
      <c r="AJ34">
        <f t="shared" si="40"/>
        <v>0</v>
      </c>
      <c r="AK34">
        <v>33.43</v>
      </c>
      <c r="AL34">
        <v>0</v>
      </c>
      <c r="AM34">
        <v>0</v>
      </c>
      <c r="AN34">
        <v>0</v>
      </c>
      <c r="AO34">
        <v>33.43</v>
      </c>
      <c r="AP34">
        <v>0</v>
      </c>
      <c r="AQ34">
        <v>4.21</v>
      </c>
      <c r="AR34">
        <v>0</v>
      </c>
      <c r="AS34">
        <v>0</v>
      </c>
      <c r="AT34">
        <v>82</v>
      </c>
      <c r="AU34">
        <v>62</v>
      </c>
      <c r="AV34">
        <v>1</v>
      </c>
      <c r="AW34">
        <v>1</v>
      </c>
      <c r="AZ34">
        <v>7.73</v>
      </c>
      <c r="BA34">
        <v>7.73</v>
      </c>
      <c r="BB34">
        <v>7.73</v>
      </c>
      <c r="BC34">
        <v>7.73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1</v>
      </c>
      <c r="BJ34" t="s">
        <v>43</v>
      </c>
      <c r="BM34">
        <v>56001</v>
      </c>
      <c r="BN34">
        <v>0</v>
      </c>
      <c r="BO34" t="s">
        <v>20</v>
      </c>
      <c r="BP34">
        <v>1</v>
      </c>
      <c r="BQ34">
        <v>6</v>
      </c>
      <c r="BR34">
        <v>0</v>
      </c>
      <c r="BS34">
        <v>7.73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82</v>
      </c>
      <c r="CA34">
        <v>62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1"/>
        <v>77.52</v>
      </c>
      <c r="CQ34">
        <f t="shared" si="42"/>
        <v>0</v>
      </c>
      <c r="CR34">
        <f t="shared" si="43"/>
        <v>0</v>
      </c>
      <c r="CS34">
        <f t="shared" si="44"/>
        <v>0</v>
      </c>
      <c r="CT34">
        <f t="shared" si="45"/>
        <v>258.41390000000001</v>
      </c>
      <c r="CU34">
        <f t="shared" si="46"/>
        <v>0</v>
      </c>
      <c r="CV34">
        <f t="shared" si="47"/>
        <v>4.21</v>
      </c>
      <c r="CW34">
        <f t="shared" si="48"/>
        <v>0</v>
      </c>
      <c r="CX34">
        <f t="shared" si="49"/>
        <v>0</v>
      </c>
      <c r="CY34">
        <f t="shared" si="50"/>
        <v>63.566399999999994</v>
      </c>
      <c r="CZ34">
        <f t="shared" si="51"/>
        <v>48.062399999999997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42</v>
      </c>
      <c r="DW34" t="s">
        <v>42</v>
      </c>
      <c r="DX34">
        <v>100</v>
      </c>
      <c r="DZ34" t="s">
        <v>3</v>
      </c>
      <c r="EA34" t="s">
        <v>3</v>
      </c>
      <c r="EB34" t="s">
        <v>3</v>
      </c>
      <c r="EC34" t="s">
        <v>3</v>
      </c>
      <c r="EE34">
        <v>94243556</v>
      </c>
      <c r="EF34">
        <v>6</v>
      </c>
      <c r="EG34" t="s">
        <v>21</v>
      </c>
      <c r="EH34">
        <v>0</v>
      </c>
      <c r="EI34" t="s">
        <v>3</v>
      </c>
      <c r="EJ34">
        <v>1</v>
      </c>
      <c r="EK34">
        <v>56001</v>
      </c>
      <c r="EL34" t="s">
        <v>22</v>
      </c>
      <c r="EM34" t="s">
        <v>23</v>
      </c>
      <c r="EO34" t="s">
        <v>3</v>
      </c>
      <c r="EQ34">
        <v>0</v>
      </c>
      <c r="ER34">
        <v>33.43</v>
      </c>
      <c r="ES34">
        <v>0</v>
      </c>
      <c r="ET34">
        <v>0</v>
      </c>
      <c r="EU34">
        <v>0</v>
      </c>
      <c r="EV34">
        <v>33.43</v>
      </c>
      <c r="EW34">
        <v>4.21</v>
      </c>
      <c r="EX34">
        <v>0</v>
      </c>
      <c r="EY34">
        <v>0</v>
      </c>
      <c r="FQ34">
        <v>0</v>
      </c>
      <c r="FR34">
        <f t="shared" si="52"/>
        <v>0</v>
      </c>
      <c r="FS34">
        <v>0</v>
      </c>
      <c r="FX34">
        <v>82</v>
      </c>
      <c r="FY34">
        <v>62</v>
      </c>
      <c r="GA34" t="s">
        <v>3</v>
      </c>
      <c r="GD34">
        <v>1</v>
      </c>
      <c r="GF34">
        <v>-1251922371</v>
      </c>
      <c r="GG34">
        <v>1</v>
      </c>
      <c r="GH34">
        <v>1</v>
      </c>
      <c r="GI34">
        <v>4</v>
      </c>
      <c r="GJ34">
        <v>0</v>
      </c>
      <c r="GK34">
        <v>0</v>
      </c>
      <c r="GL34">
        <f t="shared" si="53"/>
        <v>0</v>
      </c>
      <c r="GM34">
        <f t="shared" si="54"/>
        <v>189.15</v>
      </c>
      <c r="GN34">
        <f t="shared" si="55"/>
        <v>189.15</v>
      </c>
      <c r="GO34">
        <f t="shared" si="56"/>
        <v>0</v>
      </c>
      <c r="GP34">
        <f t="shared" si="57"/>
        <v>0</v>
      </c>
      <c r="GR34">
        <v>0</v>
      </c>
      <c r="GS34">
        <v>3</v>
      </c>
      <c r="GT34">
        <v>0</v>
      </c>
      <c r="GU34" t="s">
        <v>3</v>
      </c>
      <c r="GV34">
        <f t="shared" si="58"/>
        <v>0</v>
      </c>
      <c r="GW34">
        <v>1</v>
      </c>
      <c r="GX34">
        <f t="shared" si="59"/>
        <v>0</v>
      </c>
      <c r="HA34">
        <v>0</v>
      </c>
      <c r="HB34">
        <v>0</v>
      </c>
      <c r="HC34">
        <f t="shared" si="60"/>
        <v>0</v>
      </c>
      <c r="HE34" t="s">
        <v>3</v>
      </c>
      <c r="HF34" t="s">
        <v>3</v>
      </c>
      <c r="IK34">
        <v>0</v>
      </c>
    </row>
    <row r="35" spans="1:245" x14ac:dyDescent="0.2">
      <c r="A35">
        <v>18</v>
      </c>
      <c r="B35">
        <v>1</v>
      </c>
      <c r="C35">
        <v>14</v>
      </c>
      <c r="E35" t="s">
        <v>44</v>
      </c>
      <c r="F35" t="s">
        <v>25</v>
      </c>
      <c r="G35" t="s">
        <v>26</v>
      </c>
      <c r="H35" t="s">
        <v>27</v>
      </c>
      <c r="I35">
        <f>I34*J35</f>
        <v>0.12</v>
      </c>
      <c r="J35">
        <v>0.4</v>
      </c>
      <c r="O35">
        <f t="shared" si="21"/>
        <v>0</v>
      </c>
      <c r="P35">
        <f t="shared" si="22"/>
        <v>0</v>
      </c>
      <c r="Q35">
        <f t="shared" si="23"/>
        <v>0</v>
      </c>
      <c r="R35">
        <f t="shared" si="24"/>
        <v>0</v>
      </c>
      <c r="S35">
        <f t="shared" si="25"/>
        <v>0</v>
      </c>
      <c r="T35">
        <f t="shared" si="26"/>
        <v>0</v>
      </c>
      <c r="U35">
        <f t="shared" si="27"/>
        <v>0</v>
      </c>
      <c r="V35">
        <f t="shared" si="28"/>
        <v>0</v>
      </c>
      <c r="W35">
        <f t="shared" si="29"/>
        <v>0</v>
      </c>
      <c r="X35">
        <f t="shared" si="30"/>
        <v>0</v>
      </c>
      <c r="Y35">
        <f t="shared" si="31"/>
        <v>0</v>
      </c>
      <c r="AA35">
        <v>96554872</v>
      </c>
      <c r="AB35">
        <f t="shared" si="32"/>
        <v>0</v>
      </c>
      <c r="AC35">
        <f t="shared" si="33"/>
        <v>0</v>
      </c>
      <c r="AD35">
        <f t="shared" si="34"/>
        <v>0</v>
      </c>
      <c r="AE35">
        <f t="shared" si="35"/>
        <v>0</v>
      </c>
      <c r="AF35">
        <f t="shared" si="36"/>
        <v>0</v>
      </c>
      <c r="AG35">
        <f t="shared" si="37"/>
        <v>0</v>
      </c>
      <c r="AH35">
        <f t="shared" si="38"/>
        <v>0</v>
      </c>
      <c r="AI35">
        <f t="shared" si="39"/>
        <v>0</v>
      </c>
      <c r="AJ35">
        <f t="shared" si="40"/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82</v>
      </c>
      <c r="AU35">
        <v>62</v>
      </c>
      <c r="AV35">
        <v>1</v>
      </c>
      <c r="AW35">
        <v>1</v>
      </c>
      <c r="AZ35">
        <v>7.73</v>
      </c>
      <c r="BA35">
        <v>1</v>
      </c>
      <c r="BB35">
        <v>1</v>
      </c>
      <c r="BC35">
        <v>7.73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3</v>
      </c>
      <c r="BM35">
        <v>56001</v>
      </c>
      <c r="BN35">
        <v>0</v>
      </c>
      <c r="BO35" t="s">
        <v>20</v>
      </c>
      <c r="BP35">
        <v>1</v>
      </c>
      <c r="BQ35">
        <v>6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82</v>
      </c>
      <c r="CA35">
        <v>62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1"/>
        <v>0</v>
      </c>
      <c r="CQ35">
        <f t="shared" si="42"/>
        <v>0</v>
      </c>
      <c r="CR35">
        <f t="shared" si="43"/>
        <v>0</v>
      </c>
      <c r="CS35">
        <f t="shared" si="44"/>
        <v>0</v>
      </c>
      <c r="CT35">
        <f t="shared" si="45"/>
        <v>0</v>
      </c>
      <c r="CU35">
        <f t="shared" si="46"/>
        <v>0</v>
      </c>
      <c r="CV35">
        <f t="shared" si="47"/>
        <v>0</v>
      </c>
      <c r="CW35">
        <f t="shared" si="48"/>
        <v>0</v>
      </c>
      <c r="CX35">
        <f t="shared" si="49"/>
        <v>0</v>
      </c>
      <c r="CY35">
        <f t="shared" si="50"/>
        <v>0</v>
      </c>
      <c r="CZ35">
        <f t="shared" si="51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1009</v>
      </c>
      <c r="DV35" t="s">
        <v>27</v>
      </c>
      <c r="DW35" t="s">
        <v>27</v>
      </c>
      <c r="DX35">
        <v>1000</v>
      </c>
      <c r="DZ35" t="s">
        <v>3</v>
      </c>
      <c r="EA35" t="s">
        <v>3</v>
      </c>
      <c r="EB35" t="s">
        <v>3</v>
      </c>
      <c r="EC35" t="s">
        <v>3</v>
      </c>
      <c r="EE35">
        <v>94243556</v>
      </c>
      <c r="EF35">
        <v>6</v>
      </c>
      <c r="EG35" t="s">
        <v>21</v>
      </c>
      <c r="EH35">
        <v>0</v>
      </c>
      <c r="EI35" t="s">
        <v>3</v>
      </c>
      <c r="EJ35">
        <v>1</v>
      </c>
      <c r="EK35">
        <v>56001</v>
      </c>
      <c r="EL35" t="s">
        <v>22</v>
      </c>
      <c r="EM35" t="s">
        <v>23</v>
      </c>
      <c r="EO35" t="s">
        <v>3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52"/>
        <v>0</v>
      </c>
      <c r="FS35">
        <v>0</v>
      </c>
      <c r="FX35">
        <v>82</v>
      </c>
      <c r="FY35">
        <v>62</v>
      </c>
      <c r="GA35" t="s">
        <v>3</v>
      </c>
      <c r="GD35">
        <v>1</v>
      </c>
      <c r="GF35">
        <v>2102561428</v>
      </c>
      <c r="GG35">
        <v>1</v>
      </c>
      <c r="GH35">
        <v>1</v>
      </c>
      <c r="GI35">
        <v>4</v>
      </c>
      <c r="GJ35">
        <v>0</v>
      </c>
      <c r="GK35">
        <v>0</v>
      </c>
      <c r="GL35">
        <f t="shared" si="53"/>
        <v>0</v>
      </c>
      <c r="GM35">
        <f t="shared" si="54"/>
        <v>0</v>
      </c>
      <c r="GN35">
        <f t="shared" si="55"/>
        <v>0</v>
      </c>
      <c r="GO35">
        <f t="shared" si="56"/>
        <v>0</v>
      </c>
      <c r="GP35">
        <f t="shared" si="57"/>
        <v>0</v>
      </c>
      <c r="GR35">
        <v>0</v>
      </c>
      <c r="GS35">
        <v>3</v>
      </c>
      <c r="GT35">
        <v>0</v>
      </c>
      <c r="GU35" t="s">
        <v>3</v>
      </c>
      <c r="GV35">
        <f t="shared" si="58"/>
        <v>0</v>
      </c>
      <c r="GW35">
        <v>1</v>
      </c>
      <c r="GX35">
        <f t="shared" si="59"/>
        <v>0</v>
      </c>
      <c r="HA35">
        <v>0</v>
      </c>
      <c r="HB35">
        <v>0</v>
      </c>
      <c r="HC35">
        <f t="shared" si="60"/>
        <v>0</v>
      </c>
      <c r="HE35" t="s">
        <v>3</v>
      </c>
      <c r="HF35" t="s">
        <v>3</v>
      </c>
      <c r="IK35">
        <v>0</v>
      </c>
    </row>
    <row r="36" spans="1:245" x14ac:dyDescent="0.2">
      <c r="A36">
        <v>17</v>
      </c>
      <c r="B36">
        <v>1</v>
      </c>
      <c r="C36">
        <f>ROW(SmtRes!A16)</f>
        <v>16</v>
      </c>
      <c r="D36">
        <f>ROW(EtalonRes!A16)</f>
        <v>16</v>
      </c>
      <c r="E36" t="s">
        <v>45</v>
      </c>
      <c r="F36" t="s">
        <v>46</v>
      </c>
      <c r="G36" t="s">
        <v>47</v>
      </c>
      <c r="H36" t="s">
        <v>18</v>
      </c>
      <c r="I36">
        <f>ROUND((4+17.3)/100,4)</f>
        <v>0.21299999999999999</v>
      </c>
      <c r="J36">
        <v>0</v>
      </c>
      <c r="O36">
        <f t="shared" si="21"/>
        <v>474.29</v>
      </c>
      <c r="P36">
        <f t="shared" si="22"/>
        <v>0</v>
      </c>
      <c r="Q36">
        <f t="shared" si="23"/>
        <v>0</v>
      </c>
      <c r="R36">
        <f t="shared" si="24"/>
        <v>0</v>
      </c>
      <c r="S36">
        <f t="shared" si="25"/>
        <v>474.29</v>
      </c>
      <c r="T36">
        <f t="shared" si="26"/>
        <v>0</v>
      </c>
      <c r="U36">
        <f t="shared" si="27"/>
        <v>7.7276400000000001</v>
      </c>
      <c r="V36">
        <f t="shared" si="28"/>
        <v>0</v>
      </c>
      <c r="W36">
        <f t="shared" si="29"/>
        <v>0</v>
      </c>
      <c r="X36">
        <f t="shared" si="30"/>
        <v>388.92</v>
      </c>
      <c r="Y36">
        <f t="shared" si="31"/>
        <v>294.06</v>
      </c>
      <c r="AA36">
        <v>96554872</v>
      </c>
      <c r="AB36">
        <f t="shared" si="32"/>
        <v>288.06</v>
      </c>
      <c r="AC36">
        <f t="shared" si="33"/>
        <v>0</v>
      </c>
      <c r="AD36">
        <f t="shared" si="34"/>
        <v>0</v>
      </c>
      <c r="AE36">
        <f t="shared" si="35"/>
        <v>0</v>
      </c>
      <c r="AF36">
        <f t="shared" si="36"/>
        <v>288.06</v>
      </c>
      <c r="AG36">
        <f t="shared" si="37"/>
        <v>0</v>
      </c>
      <c r="AH36">
        <f t="shared" si="38"/>
        <v>36.28</v>
      </c>
      <c r="AI36">
        <f t="shared" si="39"/>
        <v>0</v>
      </c>
      <c r="AJ36">
        <f t="shared" si="40"/>
        <v>0</v>
      </c>
      <c r="AK36">
        <v>288.06</v>
      </c>
      <c r="AL36">
        <v>0</v>
      </c>
      <c r="AM36">
        <v>0</v>
      </c>
      <c r="AN36">
        <v>0</v>
      </c>
      <c r="AO36">
        <v>288.06</v>
      </c>
      <c r="AP36">
        <v>0</v>
      </c>
      <c r="AQ36">
        <v>36.28</v>
      </c>
      <c r="AR36">
        <v>0</v>
      </c>
      <c r="AS36">
        <v>0</v>
      </c>
      <c r="AT36">
        <v>82</v>
      </c>
      <c r="AU36">
        <v>62</v>
      </c>
      <c r="AV36">
        <v>1</v>
      </c>
      <c r="AW36">
        <v>1</v>
      </c>
      <c r="AZ36">
        <v>7.73</v>
      </c>
      <c r="BA36">
        <v>7.73</v>
      </c>
      <c r="BB36">
        <v>7.73</v>
      </c>
      <c r="BC36">
        <v>7.73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1</v>
      </c>
      <c r="BJ36" t="s">
        <v>48</v>
      </c>
      <c r="BM36">
        <v>56001</v>
      </c>
      <c r="BN36">
        <v>0</v>
      </c>
      <c r="BO36" t="s">
        <v>20</v>
      </c>
      <c r="BP36">
        <v>1</v>
      </c>
      <c r="BQ36">
        <v>6</v>
      </c>
      <c r="BR36">
        <v>0</v>
      </c>
      <c r="BS36">
        <v>7.73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82</v>
      </c>
      <c r="CA36">
        <v>62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41"/>
        <v>474.29</v>
      </c>
      <c r="CQ36">
        <f t="shared" si="42"/>
        <v>0</v>
      </c>
      <c r="CR36">
        <f t="shared" si="43"/>
        <v>0</v>
      </c>
      <c r="CS36">
        <f t="shared" si="44"/>
        <v>0</v>
      </c>
      <c r="CT36">
        <f t="shared" si="45"/>
        <v>2226.7038000000002</v>
      </c>
      <c r="CU36">
        <f t="shared" si="46"/>
        <v>0</v>
      </c>
      <c r="CV36">
        <f t="shared" si="47"/>
        <v>36.28</v>
      </c>
      <c r="CW36">
        <f t="shared" si="48"/>
        <v>0</v>
      </c>
      <c r="CX36">
        <f t="shared" si="49"/>
        <v>0</v>
      </c>
      <c r="CY36">
        <f t="shared" si="50"/>
        <v>388.9178</v>
      </c>
      <c r="CZ36">
        <f t="shared" si="51"/>
        <v>294.0598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1005</v>
      </c>
      <c r="DV36" t="s">
        <v>18</v>
      </c>
      <c r="DW36" t="s">
        <v>18</v>
      </c>
      <c r="DX36">
        <v>100</v>
      </c>
      <c r="DZ36" t="s">
        <v>3</v>
      </c>
      <c r="EA36" t="s">
        <v>3</v>
      </c>
      <c r="EB36" t="s">
        <v>3</v>
      </c>
      <c r="EC36" t="s">
        <v>3</v>
      </c>
      <c r="EE36">
        <v>94243556</v>
      </c>
      <c r="EF36">
        <v>6</v>
      </c>
      <c r="EG36" t="s">
        <v>21</v>
      </c>
      <c r="EH36">
        <v>0</v>
      </c>
      <c r="EI36" t="s">
        <v>3</v>
      </c>
      <c r="EJ36">
        <v>1</v>
      </c>
      <c r="EK36">
        <v>56001</v>
      </c>
      <c r="EL36" t="s">
        <v>22</v>
      </c>
      <c r="EM36" t="s">
        <v>23</v>
      </c>
      <c r="EO36" t="s">
        <v>3</v>
      </c>
      <c r="EQ36">
        <v>0</v>
      </c>
      <c r="ER36">
        <v>288.06</v>
      </c>
      <c r="ES36">
        <v>0</v>
      </c>
      <c r="ET36">
        <v>0</v>
      </c>
      <c r="EU36">
        <v>0</v>
      </c>
      <c r="EV36">
        <v>288.06</v>
      </c>
      <c r="EW36">
        <v>36.28</v>
      </c>
      <c r="EX36">
        <v>0</v>
      </c>
      <c r="EY36">
        <v>0</v>
      </c>
      <c r="FQ36">
        <v>0</v>
      </c>
      <c r="FR36">
        <f t="shared" si="52"/>
        <v>0</v>
      </c>
      <c r="FS36">
        <v>0</v>
      </c>
      <c r="FX36">
        <v>82</v>
      </c>
      <c r="FY36">
        <v>62</v>
      </c>
      <c r="GA36" t="s">
        <v>3</v>
      </c>
      <c r="GD36">
        <v>1</v>
      </c>
      <c r="GF36">
        <v>-464177900</v>
      </c>
      <c r="GG36">
        <v>1</v>
      </c>
      <c r="GH36">
        <v>1</v>
      </c>
      <c r="GI36">
        <v>4</v>
      </c>
      <c r="GJ36">
        <v>0</v>
      </c>
      <c r="GK36">
        <v>0</v>
      </c>
      <c r="GL36">
        <f t="shared" si="53"/>
        <v>0</v>
      </c>
      <c r="GM36">
        <f t="shared" si="54"/>
        <v>1157.27</v>
      </c>
      <c r="GN36">
        <f t="shared" si="55"/>
        <v>1157.27</v>
      </c>
      <c r="GO36">
        <f t="shared" si="56"/>
        <v>0</v>
      </c>
      <c r="GP36">
        <f t="shared" si="57"/>
        <v>0</v>
      </c>
      <c r="GR36">
        <v>0</v>
      </c>
      <c r="GS36">
        <v>3</v>
      </c>
      <c r="GT36">
        <v>0</v>
      </c>
      <c r="GU36" t="s">
        <v>3</v>
      </c>
      <c r="GV36">
        <f t="shared" si="58"/>
        <v>0</v>
      </c>
      <c r="GW36">
        <v>1</v>
      </c>
      <c r="GX36">
        <f t="shared" si="59"/>
        <v>0</v>
      </c>
      <c r="HA36">
        <v>0</v>
      </c>
      <c r="HB36">
        <v>0</v>
      </c>
      <c r="HC36">
        <f t="shared" si="60"/>
        <v>0</v>
      </c>
      <c r="HE36" t="s">
        <v>3</v>
      </c>
      <c r="HF36" t="s">
        <v>3</v>
      </c>
      <c r="IK36">
        <v>0</v>
      </c>
    </row>
    <row r="37" spans="1:245" x14ac:dyDescent="0.2">
      <c r="A37">
        <v>18</v>
      </c>
      <c r="B37">
        <v>1</v>
      </c>
      <c r="C37">
        <v>16</v>
      </c>
      <c r="E37" t="s">
        <v>49</v>
      </c>
      <c r="F37" t="s">
        <v>25</v>
      </c>
      <c r="G37" t="s">
        <v>26</v>
      </c>
      <c r="H37" t="s">
        <v>27</v>
      </c>
      <c r="I37">
        <f>I36*J37</f>
        <v>0.25134000000000001</v>
      </c>
      <c r="J37">
        <v>1.1800000000000002</v>
      </c>
      <c r="O37">
        <f t="shared" si="21"/>
        <v>0</v>
      </c>
      <c r="P37">
        <f t="shared" si="22"/>
        <v>0</v>
      </c>
      <c r="Q37">
        <f t="shared" si="23"/>
        <v>0</v>
      </c>
      <c r="R37">
        <f t="shared" si="24"/>
        <v>0</v>
      </c>
      <c r="S37">
        <f t="shared" si="25"/>
        <v>0</v>
      </c>
      <c r="T37">
        <f t="shared" si="26"/>
        <v>0</v>
      </c>
      <c r="U37">
        <f t="shared" si="27"/>
        <v>0</v>
      </c>
      <c r="V37">
        <f t="shared" si="28"/>
        <v>0</v>
      </c>
      <c r="W37">
        <f t="shared" si="29"/>
        <v>0</v>
      </c>
      <c r="X37">
        <f t="shared" si="30"/>
        <v>0</v>
      </c>
      <c r="Y37">
        <f t="shared" si="31"/>
        <v>0</v>
      </c>
      <c r="AA37">
        <v>96554872</v>
      </c>
      <c r="AB37">
        <f t="shared" si="32"/>
        <v>0</v>
      </c>
      <c r="AC37">
        <f t="shared" si="33"/>
        <v>0</v>
      </c>
      <c r="AD37">
        <f t="shared" si="34"/>
        <v>0</v>
      </c>
      <c r="AE37">
        <f t="shared" si="35"/>
        <v>0</v>
      </c>
      <c r="AF37">
        <f t="shared" si="36"/>
        <v>0</v>
      </c>
      <c r="AG37">
        <f t="shared" si="37"/>
        <v>0</v>
      </c>
      <c r="AH37">
        <f t="shared" si="38"/>
        <v>0</v>
      </c>
      <c r="AI37">
        <f t="shared" si="39"/>
        <v>0</v>
      </c>
      <c r="AJ37">
        <f t="shared" si="40"/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82</v>
      </c>
      <c r="AU37">
        <v>62</v>
      </c>
      <c r="AV37">
        <v>1</v>
      </c>
      <c r="AW37">
        <v>1</v>
      </c>
      <c r="AZ37">
        <v>7.73</v>
      </c>
      <c r="BA37">
        <v>1</v>
      </c>
      <c r="BB37">
        <v>1</v>
      </c>
      <c r="BC37">
        <v>7.73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1</v>
      </c>
      <c r="BJ37" t="s">
        <v>3</v>
      </c>
      <c r="BM37">
        <v>56001</v>
      </c>
      <c r="BN37">
        <v>0</v>
      </c>
      <c r="BO37" t="s">
        <v>20</v>
      </c>
      <c r="BP37">
        <v>1</v>
      </c>
      <c r="BQ37">
        <v>6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82</v>
      </c>
      <c r="CA37">
        <v>62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1"/>
        <v>0</v>
      </c>
      <c r="CQ37">
        <f t="shared" si="42"/>
        <v>0</v>
      </c>
      <c r="CR37">
        <f t="shared" si="43"/>
        <v>0</v>
      </c>
      <c r="CS37">
        <f t="shared" si="44"/>
        <v>0</v>
      </c>
      <c r="CT37">
        <f t="shared" si="45"/>
        <v>0</v>
      </c>
      <c r="CU37">
        <f t="shared" si="46"/>
        <v>0</v>
      </c>
      <c r="CV37">
        <f t="shared" si="47"/>
        <v>0</v>
      </c>
      <c r="CW37">
        <f t="shared" si="48"/>
        <v>0</v>
      </c>
      <c r="CX37">
        <f t="shared" si="49"/>
        <v>0</v>
      </c>
      <c r="CY37">
        <f t="shared" si="50"/>
        <v>0</v>
      </c>
      <c r="CZ37">
        <f t="shared" si="51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1009</v>
      </c>
      <c r="DV37" t="s">
        <v>27</v>
      </c>
      <c r="DW37" t="s">
        <v>27</v>
      </c>
      <c r="DX37">
        <v>1000</v>
      </c>
      <c r="DZ37" t="s">
        <v>3</v>
      </c>
      <c r="EA37" t="s">
        <v>3</v>
      </c>
      <c r="EB37" t="s">
        <v>3</v>
      </c>
      <c r="EC37" t="s">
        <v>3</v>
      </c>
      <c r="EE37">
        <v>94243556</v>
      </c>
      <c r="EF37">
        <v>6</v>
      </c>
      <c r="EG37" t="s">
        <v>21</v>
      </c>
      <c r="EH37">
        <v>0</v>
      </c>
      <c r="EI37" t="s">
        <v>3</v>
      </c>
      <c r="EJ37">
        <v>1</v>
      </c>
      <c r="EK37">
        <v>56001</v>
      </c>
      <c r="EL37" t="s">
        <v>22</v>
      </c>
      <c r="EM37" t="s">
        <v>23</v>
      </c>
      <c r="EO37" t="s">
        <v>3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52"/>
        <v>0</v>
      </c>
      <c r="FS37">
        <v>0</v>
      </c>
      <c r="FX37">
        <v>82</v>
      </c>
      <c r="FY37">
        <v>62</v>
      </c>
      <c r="GA37" t="s">
        <v>3</v>
      </c>
      <c r="GD37">
        <v>1</v>
      </c>
      <c r="GF37">
        <v>2102561428</v>
      </c>
      <c r="GG37">
        <v>1</v>
      </c>
      <c r="GH37">
        <v>1</v>
      </c>
      <c r="GI37">
        <v>4</v>
      </c>
      <c r="GJ37">
        <v>0</v>
      </c>
      <c r="GK37">
        <v>0</v>
      </c>
      <c r="GL37">
        <f t="shared" si="53"/>
        <v>0</v>
      </c>
      <c r="GM37">
        <f t="shared" si="54"/>
        <v>0</v>
      </c>
      <c r="GN37">
        <f t="shared" si="55"/>
        <v>0</v>
      </c>
      <c r="GO37">
        <f t="shared" si="56"/>
        <v>0</v>
      </c>
      <c r="GP37">
        <f t="shared" si="57"/>
        <v>0</v>
      </c>
      <c r="GR37">
        <v>0</v>
      </c>
      <c r="GS37">
        <v>3</v>
      </c>
      <c r="GT37">
        <v>0</v>
      </c>
      <c r="GU37" t="s">
        <v>3</v>
      </c>
      <c r="GV37">
        <f t="shared" si="58"/>
        <v>0</v>
      </c>
      <c r="GW37">
        <v>1</v>
      </c>
      <c r="GX37">
        <f t="shared" si="59"/>
        <v>0</v>
      </c>
      <c r="HA37">
        <v>0</v>
      </c>
      <c r="HB37">
        <v>0</v>
      </c>
      <c r="HC37">
        <f t="shared" si="60"/>
        <v>0</v>
      </c>
      <c r="HE37" t="s">
        <v>3</v>
      </c>
      <c r="HF37" t="s">
        <v>3</v>
      </c>
      <c r="IK37">
        <v>0</v>
      </c>
    </row>
    <row r="38" spans="1:245" x14ac:dyDescent="0.2">
      <c r="A38">
        <v>17</v>
      </c>
      <c r="B38">
        <v>1</v>
      </c>
      <c r="C38">
        <f>ROW(SmtRes!A20)</f>
        <v>20</v>
      </c>
      <c r="D38">
        <f>ROW(EtalonRes!A20)</f>
        <v>20</v>
      </c>
      <c r="E38" t="s">
        <v>50</v>
      </c>
      <c r="F38" t="s">
        <v>51</v>
      </c>
      <c r="G38" t="s">
        <v>52</v>
      </c>
      <c r="H38" t="s">
        <v>36</v>
      </c>
      <c r="I38">
        <f>ROUND((1+2)/100,4)</f>
        <v>0.03</v>
      </c>
      <c r="J38">
        <v>0</v>
      </c>
      <c r="O38">
        <f t="shared" si="21"/>
        <v>381.22</v>
      </c>
      <c r="P38">
        <f t="shared" si="22"/>
        <v>0</v>
      </c>
      <c r="Q38">
        <f t="shared" si="23"/>
        <v>47.75</v>
      </c>
      <c r="R38">
        <f t="shared" si="24"/>
        <v>0</v>
      </c>
      <c r="S38">
        <f t="shared" si="25"/>
        <v>333.47</v>
      </c>
      <c r="T38">
        <f t="shared" si="26"/>
        <v>0</v>
      </c>
      <c r="U38">
        <f t="shared" si="27"/>
        <v>5.3790000000000004</v>
      </c>
      <c r="V38">
        <f t="shared" si="28"/>
        <v>0</v>
      </c>
      <c r="W38">
        <f t="shared" si="29"/>
        <v>0</v>
      </c>
      <c r="X38">
        <f t="shared" si="30"/>
        <v>273.45</v>
      </c>
      <c r="Y38">
        <f t="shared" si="31"/>
        <v>206.75</v>
      </c>
      <c r="AA38">
        <v>96554872</v>
      </c>
      <c r="AB38">
        <f t="shared" si="32"/>
        <v>1643.9</v>
      </c>
      <c r="AC38">
        <f t="shared" si="33"/>
        <v>0</v>
      </c>
      <c r="AD38">
        <f t="shared" si="34"/>
        <v>205.91</v>
      </c>
      <c r="AE38">
        <f t="shared" si="35"/>
        <v>0</v>
      </c>
      <c r="AF38">
        <f t="shared" si="36"/>
        <v>1437.99</v>
      </c>
      <c r="AG38">
        <f t="shared" si="37"/>
        <v>0</v>
      </c>
      <c r="AH38">
        <f t="shared" si="38"/>
        <v>179.3</v>
      </c>
      <c r="AI38">
        <f t="shared" si="39"/>
        <v>0</v>
      </c>
      <c r="AJ38">
        <f t="shared" si="40"/>
        <v>0</v>
      </c>
      <c r="AK38">
        <v>1643.9</v>
      </c>
      <c r="AL38">
        <v>0</v>
      </c>
      <c r="AM38">
        <v>205.91</v>
      </c>
      <c r="AN38">
        <v>0</v>
      </c>
      <c r="AO38">
        <v>1437.99</v>
      </c>
      <c r="AP38">
        <v>0</v>
      </c>
      <c r="AQ38">
        <v>179.3</v>
      </c>
      <c r="AR38">
        <v>0</v>
      </c>
      <c r="AS38">
        <v>0</v>
      </c>
      <c r="AT38">
        <v>82</v>
      </c>
      <c r="AU38">
        <v>62</v>
      </c>
      <c r="AV38">
        <v>1</v>
      </c>
      <c r="AW38">
        <v>1</v>
      </c>
      <c r="AZ38">
        <v>7.73</v>
      </c>
      <c r="BA38">
        <v>7.73</v>
      </c>
      <c r="BB38">
        <v>7.73</v>
      </c>
      <c r="BC38">
        <v>7.73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1</v>
      </c>
      <c r="BJ38" t="s">
        <v>53</v>
      </c>
      <c r="BM38">
        <v>56001</v>
      </c>
      <c r="BN38">
        <v>0</v>
      </c>
      <c r="BO38" t="s">
        <v>20</v>
      </c>
      <c r="BP38">
        <v>1</v>
      </c>
      <c r="BQ38">
        <v>6</v>
      </c>
      <c r="BR38">
        <v>0</v>
      </c>
      <c r="BS38">
        <v>7.73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82</v>
      </c>
      <c r="CA38">
        <v>62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41"/>
        <v>381.22</v>
      </c>
      <c r="CQ38">
        <f t="shared" si="42"/>
        <v>0</v>
      </c>
      <c r="CR38">
        <f t="shared" si="43"/>
        <v>1591.6843000000001</v>
      </c>
      <c r="CS38">
        <f t="shared" si="44"/>
        <v>0</v>
      </c>
      <c r="CT38">
        <f t="shared" si="45"/>
        <v>11115.662700000001</v>
      </c>
      <c r="CU38">
        <f t="shared" si="46"/>
        <v>0</v>
      </c>
      <c r="CV38">
        <f t="shared" si="47"/>
        <v>179.3</v>
      </c>
      <c r="CW38">
        <f t="shared" si="48"/>
        <v>0</v>
      </c>
      <c r="CX38">
        <f t="shared" si="49"/>
        <v>0</v>
      </c>
      <c r="CY38">
        <f t="shared" si="50"/>
        <v>273.44540000000001</v>
      </c>
      <c r="CZ38">
        <f t="shared" si="51"/>
        <v>206.75140000000002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1013</v>
      </c>
      <c r="DV38" t="s">
        <v>36</v>
      </c>
      <c r="DW38" t="s">
        <v>36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94243556</v>
      </c>
      <c r="EF38">
        <v>6</v>
      </c>
      <c r="EG38" t="s">
        <v>21</v>
      </c>
      <c r="EH38">
        <v>0</v>
      </c>
      <c r="EI38" t="s">
        <v>3</v>
      </c>
      <c r="EJ38">
        <v>1</v>
      </c>
      <c r="EK38">
        <v>56001</v>
      </c>
      <c r="EL38" t="s">
        <v>22</v>
      </c>
      <c r="EM38" t="s">
        <v>23</v>
      </c>
      <c r="EO38" t="s">
        <v>3</v>
      </c>
      <c r="EQ38">
        <v>0</v>
      </c>
      <c r="ER38">
        <v>1643.9</v>
      </c>
      <c r="ES38">
        <v>0</v>
      </c>
      <c r="ET38">
        <v>205.91</v>
      </c>
      <c r="EU38">
        <v>0</v>
      </c>
      <c r="EV38">
        <v>1437.99</v>
      </c>
      <c r="EW38">
        <v>179.3</v>
      </c>
      <c r="EX38">
        <v>0</v>
      </c>
      <c r="EY38">
        <v>0</v>
      </c>
      <c r="FQ38">
        <v>0</v>
      </c>
      <c r="FR38">
        <f t="shared" si="52"/>
        <v>0</v>
      </c>
      <c r="FS38">
        <v>0</v>
      </c>
      <c r="FX38">
        <v>82</v>
      </c>
      <c r="FY38">
        <v>62</v>
      </c>
      <c r="GA38" t="s">
        <v>3</v>
      </c>
      <c r="GD38">
        <v>1</v>
      </c>
      <c r="GF38">
        <v>-1700016766</v>
      </c>
      <c r="GG38">
        <v>1</v>
      </c>
      <c r="GH38">
        <v>1</v>
      </c>
      <c r="GI38">
        <v>4</v>
      </c>
      <c r="GJ38">
        <v>0</v>
      </c>
      <c r="GK38">
        <v>0</v>
      </c>
      <c r="GL38">
        <f t="shared" si="53"/>
        <v>0</v>
      </c>
      <c r="GM38">
        <f t="shared" si="54"/>
        <v>861.42</v>
      </c>
      <c r="GN38">
        <f t="shared" si="55"/>
        <v>861.42</v>
      </c>
      <c r="GO38">
        <f t="shared" si="56"/>
        <v>0</v>
      </c>
      <c r="GP38">
        <f t="shared" si="57"/>
        <v>0</v>
      </c>
      <c r="GR38">
        <v>0</v>
      </c>
      <c r="GS38">
        <v>3</v>
      </c>
      <c r="GT38">
        <v>0</v>
      </c>
      <c r="GU38" t="s">
        <v>3</v>
      </c>
      <c r="GV38">
        <f t="shared" si="58"/>
        <v>0</v>
      </c>
      <c r="GW38">
        <v>1</v>
      </c>
      <c r="GX38">
        <f t="shared" si="59"/>
        <v>0</v>
      </c>
      <c r="HA38">
        <v>0</v>
      </c>
      <c r="HB38">
        <v>0</v>
      </c>
      <c r="HC38">
        <f t="shared" si="60"/>
        <v>0</v>
      </c>
      <c r="HE38" t="s">
        <v>3</v>
      </c>
      <c r="HF38" t="s">
        <v>3</v>
      </c>
      <c r="IK38">
        <v>0</v>
      </c>
    </row>
    <row r="39" spans="1:245" x14ac:dyDescent="0.2">
      <c r="A39">
        <v>18</v>
      </c>
      <c r="B39">
        <v>1</v>
      </c>
      <c r="C39">
        <v>20</v>
      </c>
      <c r="E39" t="s">
        <v>54</v>
      </c>
      <c r="F39" t="s">
        <v>25</v>
      </c>
      <c r="G39" t="s">
        <v>26</v>
      </c>
      <c r="H39" t="s">
        <v>27</v>
      </c>
      <c r="I39">
        <f>I38*J39</f>
        <v>0.315</v>
      </c>
      <c r="J39">
        <v>10.5</v>
      </c>
      <c r="O39">
        <f t="shared" si="21"/>
        <v>0</v>
      </c>
      <c r="P39">
        <f t="shared" si="22"/>
        <v>0</v>
      </c>
      <c r="Q39">
        <f t="shared" si="23"/>
        <v>0</v>
      </c>
      <c r="R39">
        <f t="shared" si="24"/>
        <v>0</v>
      </c>
      <c r="S39">
        <f t="shared" si="25"/>
        <v>0</v>
      </c>
      <c r="T39">
        <f t="shared" si="26"/>
        <v>0</v>
      </c>
      <c r="U39">
        <f t="shared" si="27"/>
        <v>0</v>
      </c>
      <c r="V39">
        <f t="shared" si="28"/>
        <v>0</v>
      </c>
      <c r="W39">
        <f t="shared" si="29"/>
        <v>0</v>
      </c>
      <c r="X39">
        <f t="shared" si="30"/>
        <v>0</v>
      </c>
      <c r="Y39">
        <f t="shared" si="31"/>
        <v>0</v>
      </c>
      <c r="AA39">
        <v>96554872</v>
      </c>
      <c r="AB39">
        <f t="shared" si="32"/>
        <v>0</v>
      </c>
      <c r="AC39">
        <f t="shared" si="33"/>
        <v>0</v>
      </c>
      <c r="AD39">
        <f t="shared" si="34"/>
        <v>0</v>
      </c>
      <c r="AE39">
        <f t="shared" si="35"/>
        <v>0</v>
      </c>
      <c r="AF39">
        <f t="shared" si="36"/>
        <v>0</v>
      </c>
      <c r="AG39">
        <f t="shared" si="37"/>
        <v>0</v>
      </c>
      <c r="AH39">
        <f t="shared" si="38"/>
        <v>0</v>
      </c>
      <c r="AI39">
        <f t="shared" si="39"/>
        <v>0</v>
      </c>
      <c r="AJ39">
        <f t="shared" si="40"/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82</v>
      </c>
      <c r="AU39">
        <v>62</v>
      </c>
      <c r="AV39">
        <v>1</v>
      </c>
      <c r="AW39">
        <v>1</v>
      </c>
      <c r="AZ39">
        <v>7.73</v>
      </c>
      <c r="BA39">
        <v>1</v>
      </c>
      <c r="BB39">
        <v>1</v>
      </c>
      <c r="BC39">
        <v>7.73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3</v>
      </c>
      <c r="BM39">
        <v>56001</v>
      </c>
      <c r="BN39">
        <v>0</v>
      </c>
      <c r="BO39" t="s">
        <v>20</v>
      </c>
      <c r="BP39">
        <v>1</v>
      </c>
      <c r="BQ39">
        <v>6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82</v>
      </c>
      <c r="CA39">
        <v>62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41"/>
        <v>0</v>
      </c>
      <c r="CQ39">
        <f t="shared" si="42"/>
        <v>0</v>
      </c>
      <c r="CR39">
        <f t="shared" si="43"/>
        <v>0</v>
      </c>
      <c r="CS39">
        <f t="shared" si="44"/>
        <v>0</v>
      </c>
      <c r="CT39">
        <f t="shared" si="45"/>
        <v>0</v>
      </c>
      <c r="CU39">
        <f t="shared" si="46"/>
        <v>0</v>
      </c>
      <c r="CV39">
        <f t="shared" si="47"/>
        <v>0</v>
      </c>
      <c r="CW39">
        <f t="shared" si="48"/>
        <v>0</v>
      </c>
      <c r="CX39">
        <f t="shared" si="49"/>
        <v>0</v>
      </c>
      <c r="CY39">
        <f t="shared" si="50"/>
        <v>0</v>
      </c>
      <c r="CZ39">
        <f t="shared" si="51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1009</v>
      </c>
      <c r="DV39" t="s">
        <v>27</v>
      </c>
      <c r="DW39" t="s">
        <v>27</v>
      </c>
      <c r="DX39">
        <v>1000</v>
      </c>
      <c r="DZ39" t="s">
        <v>3</v>
      </c>
      <c r="EA39" t="s">
        <v>3</v>
      </c>
      <c r="EB39" t="s">
        <v>3</v>
      </c>
      <c r="EC39" t="s">
        <v>3</v>
      </c>
      <c r="EE39">
        <v>94243556</v>
      </c>
      <c r="EF39">
        <v>6</v>
      </c>
      <c r="EG39" t="s">
        <v>21</v>
      </c>
      <c r="EH39">
        <v>0</v>
      </c>
      <c r="EI39" t="s">
        <v>3</v>
      </c>
      <c r="EJ39">
        <v>1</v>
      </c>
      <c r="EK39">
        <v>56001</v>
      </c>
      <c r="EL39" t="s">
        <v>22</v>
      </c>
      <c r="EM39" t="s">
        <v>23</v>
      </c>
      <c r="EO39" t="s">
        <v>3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FQ39">
        <v>0</v>
      </c>
      <c r="FR39">
        <f t="shared" si="52"/>
        <v>0</v>
      </c>
      <c r="FS39">
        <v>0</v>
      </c>
      <c r="FX39">
        <v>82</v>
      </c>
      <c r="FY39">
        <v>62</v>
      </c>
      <c r="GA39" t="s">
        <v>3</v>
      </c>
      <c r="GD39">
        <v>1</v>
      </c>
      <c r="GF39">
        <v>2102561428</v>
      </c>
      <c r="GG39">
        <v>1</v>
      </c>
      <c r="GH39">
        <v>1</v>
      </c>
      <c r="GI39">
        <v>4</v>
      </c>
      <c r="GJ39">
        <v>0</v>
      </c>
      <c r="GK39">
        <v>0</v>
      </c>
      <c r="GL39">
        <f t="shared" si="53"/>
        <v>0</v>
      </c>
      <c r="GM39">
        <f t="shared" si="54"/>
        <v>0</v>
      </c>
      <c r="GN39">
        <f t="shared" si="55"/>
        <v>0</v>
      </c>
      <c r="GO39">
        <f t="shared" si="56"/>
        <v>0</v>
      </c>
      <c r="GP39">
        <f t="shared" si="57"/>
        <v>0</v>
      </c>
      <c r="GR39">
        <v>0</v>
      </c>
      <c r="GS39">
        <v>3</v>
      </c>
      <c r="GT39">
        <v>0</v>
      </c>
      <c r="GU39" t="s">
        <v>3</v>
      </c>
      <c r="GV39">
        <f t="shared" si="58"/>
        <v>0</v>
      </c>
      <c r="GW39">
        <v>1</v>
      </c>
      <c r="GX39">
        <f t="shared" si="59"/>
        <v>0</v>
      </c>
      <c r="HA39">
        <v>0</v>
      </c>
      <c r="HB39">
        <v>0</v>
      </c>
      <c r="HC39">
        <f t="shared" si="60"/>
        <v>0</v>
      </c>
      <c r="HE39" t="s">
        <v>3</v>
      </c>
      <c r="HF39" t="s">
        <v>3</v>
      </c>
      <c r="IK39">
        <v>0</v>
      </c>
    </row>
    <row r="41" spans="1:245" x14ac:dyDescent="0.2">
      <c r="A41" s="2">
        <v>51</v>
      </c>
      <c r="B41" s="2">
        <f>B24</f>
        <v>1</v>
      </c>
      <c r="C41" s="2">
        <f>A24</f>
        <v>4</v>
      </c>
      <c r="D41" s="2">
        <f>ROW(A24)</f>
        <v>24</v>
      </c>
      <c r="E41" s="2"/>
      <c r="F41" s="2" t="str">
        <f>IF(F24&lt;&gt;"",F24,"")</f>
        <v>Новый раздел</v>
      </c>
      <c r="G41" s="2" t="str">
        <f>IF(G24&lt;&gt;"",G24,"")</f>
        <v>Демонтажные работы</v>
      </c>
      <c r="H41" s="2">
        <v>0</v>
      </c>
      <c r="I41" s="2"/>
      <c r="J41" s="2"/>
      <c r="K41" s="2"/>
      <c r="L41" s="2"/>
      <c r="M41" s="2"/>
      <c r="N41" s="2"/>
      <c r="O41" s="2">
        <f t="shared" ref="O41:T41" si="61">ROUND(AB41,2)</f>
        <v>4203.72</v>
      </c>
      <c r="P41" s="2">
        <f t="shared" si="61"/>
        <v>0</v>
      </c>
      <c r="Q41" s="2">
        <f t="shared" si="61"/>
        <v>291.81</v>
      </c>
      <c r="R41" s="2">
        <f t="shared" si="61"/>
        <v>72.8</v>
      </c>
      <c r="S41" s="2">
        <f t="shared" si="61"/>
        <v>3911.91</v>
      </c>
      <c r="T41" s="2">
        <f t="shared" si="61"/>
        <v>0</v>
      </c>
      <c r="U41" s="2">
        <f>AH41</f>
        <v>62.877719999999997</v>
      </c>
      <c r="V41" s="2">
        <f>AI41</f>
        <v>0.69735999999999998</v>
      </c>
      <c r="W41" s="2">
        <f>ROUND(AJ41,2)</f>
        <v>0</v>
      </c>
      <c r="X41" s="2">
        <f>ROUND(AK41,2)</f>
        <v>3267.47</v>
      </c>
      <c r="Y41" s="2">
        <f>ROUND(AL41,2)</f>
        <v>2470.52</v>
      </c>
      <c r="Z41" s="2"/>
      <c r="AA41" s="2"/>
      <c r="AB41" s="2">
        <f>ROUND(SUMIF(AA28:AA39,"=96554872",O28:O39),2)</f>
        <v>4203.72</v>
      </c>
      <c r="AC41" s="2">
        <f>ROUND(SUMIF(AA28:AA39,"=96554872",P28:P39),2)</f>
        <v>0</v>
      </c>
      <c r="AD41" s="2">
        <f>ROUND(SUMIF(AA28:AA39,"=96554872",Q28:Q39),2)</f>
        <v>291.81</v>
      </c>
      <c r="AE41" s="2">
        <f>ROUND(SUMIF(AA28:AA39,"=96554872",R28:R39),2)</f>
        <v>72.8</v>
      </c>
      <c r="AF41" s="2">
        <f>ROUND(SUMIF(AA28:AA39,"=96554872",S28:S39),2)</f>
        <v>3911.91</v>
      </c>
      <c r="AG41" s="2">
        <f>ROUND(SUMIF(AA28:AA39,"=96554872",T28:T39),2)</f>
        <v>0</v>
      </c>
      <c r="AH41" s="2">
        <f>SUMIF(AA28:AA39,"=96554872",U28:U39)</f>
        <v>62.877719999999997</v>
      </c>
      <c r="AI41" s="2">
        <f>SUMIF(AA28:AA39,"=96554872",V28:V39)</f>
        <v>0.69735999999999998</v>
      </c>
      <c r="AJ41" s="2">
        <f>ROUND(SUMIF(AA28:AA39,"=96554872",W28:W39),2)</f>
        <v>0</v>
      </c>
      <c r="AK41" s="2">
        <f>ROUND(SUMIF(AA28:AA39,"=96554872",X28:X39),2)</f>
        <v>3267.47</v>
      </c>
      <c r="AL41" s="2">
        <f>ROUND(SUMIF(AA28:AA39,"=96554872",Y28:Y39),2)</f>
        <v>2470.52</v>
      </c>
      <c r="AM41" s="2"/>
      <c r="AN41" s="2"/>
      <c r="AO41" s="2">
        <f t="shared" ref="AO41:BD41" si="62">ROUND(BX41,2)</f>
        <v>0</v>
      </c>
      <c r="AP41" s="2">
        <f t="shared" si="62"/>
        <v>0</v>
      </c>
      <c r="AQ41" s="2">
        <f t="shared" si="62"/>
        <v>0</v>
      </c>
      <c r="AR41" s="2">
        <f t="shared" si="62"/>
        <v>9941.7099999999991</v>
      </c>
      <c r="AS41" s="2">
        <f t="shared" si="62"/>
        <v>9941.7099999999991</v>
      </c>
      <c r="AT41" s="2">
        <f t="shared" si="62"/>
        <v>0</v>
      </c>
      <c r="AU41" s="2">
        <f t="shared" si="62"/>
        <v>0</v>
      </c>
      <c r="AV41" s="2">
        <f t="shared" si="62"/>
        <v>0</v>
      </c>
      <c r="AW41" s="2">
        <f t="shared" si="62"/>
        <v>0</v>
      </c>
      <c r="AX41" s="2">
        <f t="shared" si="62"/>
        <v>0</v>
      </c>
      <c r="AY41" s="2">
        <f t="shared" si="62"/>
        <v>0</v>
      </c>
      <c r="AZ41" s="2">
        <f t="shared" si="62"/>
        <v>0</v>
      </c>
      <c r="BA41" s="2">
        <f t="shared" si="62"/>
        <v>0</v>
      </c>
      <c r="BB41" s="2">
        <f t="shared" si="62"/>
        <v>0</v>
      </c>
      <c r="BC41" s="2">
        <f t="shared" si="62"/>
        <v>0</v>
      </c>
      <c r="BD41" s="2">
        <f t="shared" si="62"/>
        <v>0</v>
      </c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>
        <f>ROUND(SUMIF(AA28:AA39,"=96554872",FQ28:FQ39),2)</f>
        <v>0</v>
      </c>
      <c r="BY41" s="2">
        <f>ROUND(SUMIF(AA28:AA39,"=96554872",FR28:FR39),2)</f>
        <v>0</v>
      </c>
      <c r="BZ41" s="2">
        <f>ROUND(SUMIF(AA28:AA39,"=96554872",GL28:GL39),2)</f>
        <v>0</v>
      </c>
      <c r="CA41" s="2">
        <f>ROUND(SUMIF(AA28:AA39,"=96554872",GM28:GM39),2)</f>
        <v>9941.7099999999991</v>
      </c>
      <c r="CB41" s="2">
        <f>ROUND(SUMIF(AA28:AA39,"=96554872",GN28:GN39),2)</f>
        <v>9941.7099999999991</v>
      </c>
      <c r="CC41" s="2">
        <f>ROUND(SUMIF(AA28:AA39,"=96554872",GO28:GO39),2)</f>
        <v>0</v>
      </c>
      <c r="CD41" s="2">
        <f>ROUND(SUMIF(AA28:AA39,"=96554872",GP28:GP39),2)</f>
        <v>0</v>
      </c>
      <c r="CE41" s="2">
        <f>AC41-BX41</f>
        <v>0</v>
      </c>
      <c r="CF41" s="2">
        <f>AC41-BY41</f>
        <v>0</v>
      </c>
      <c r="CG41" s="2">
        <f>BX41-BZ41</f>
        <v>0</v>
      </c>
      <c r="CH41" s="2">
        <f>AC41-BX41-BY41+BZ41</f>
        <v>0</v>
      </c>
      <c r="CI41" s="2">
        <f>BY41-BZ41</f>
        <v>0</v>
      </c>
      <c r="CJ41" s="2">
        <f>ROUND(SUMIF(AA28:AA39,"=96554872",GX28:GX39),2)</f>
        <v>0</v>
      </c>
      <c r="CK41" s="2">
        <f>ROUND(SUMIF(AA28:AA39,"=96554872",GY28:GY39),2)</f>
        <v>0</v>
      </c>
      <c r="CL41" s="2">
        <f>ROUND(SUMIF(AA28:AA39,"=96554872",GZ28:GZ39),2)</f>
        <v>0</v>
      </c>
      <c r="CM41" s="2">
        <f>ROUND(SUMIF(AA28:AA39,"=96554872",HD28:HD39),2)</f>
        <v>0</v>
      </c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>
        <v>0</v>
      </c>
    </row>
    <row r="43" spans="1:245" x14ac:dyDescent="0.2">
      <c r="A43" s="4">
        <v>50</v>
      </c>
      <c r="B43" s="4">
        <v>1</v>
      </c>
      <c r="C43" s="4">
        <v>0</v>
      </c>
      <c r="D43" s="4">
        <v>1</v>
      </c>
      <c r="E43" s="4">
        <v>201</v>
      </c>
      <c r="F43" s="4">
        <f>ROUND(Source!O41,O43)</f>
        <v>4203.72</v>
      </c>
      <c r="G43" s="4" t="s">
        <v>55</v>
      </c>
      <c r="H43" s="4" t="s">
        <v>56</v>
      </c>
      <c r="I43" s="4"/>
      <c r="J43" s="4"/>
      <c r="K43" s="4">
        <v>201</v>
      </c>
      <c r="L43" s="4">
        <v>1</v>
      </c>
      <c r="M43" s="4">
        <v>1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 x14ac:dyDescent="0.2">
      <c r="A44" s="4">
        <v>50</v>
      </c>
      <c r="B44" s="4">
        <v>0</v>
      </c>
      <c r="C44" s="4">
        <v>0</v>
      </c>
      <c r="D44" s="4">
        <v>1</v>
      </c>
      <c r="E44" s="4">
        <v>202</v>
      </c>
      <c r="F44" s="4">
        <f>ROUND(Source!P41,O44)</f>
        <v>0</v>
      </c>
      <c r="G44" s="4" t="s">
        <v>57</v>
      </c>
      <c r="H44" s="4" t="s">
        <v>58</v>
      </c>
      <c r="I44" s="4"/>
      <c r="J44" s="4"/>
      <c r="K44" s="4">
        <v>202</v>
      </c>
      <c r="L44" s="4">
        <v>2</v>
      </c>
      <c r="M44" s="4">
        <v>1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 x14ac:dyDescent="0.2">
      <c r="A45" s="4">
        <v>50</v>
      </c>
      <c r="B45" s="4">
        <v>0</v>
      </c>
      <c r="C45" s="4">
        <v>0</v>
      </c>
      <c r="D45" s="4">
        <v>1</v>
      </c>
      <c r="E45" s="4">
        <v>222</v>
      </c>
      <c r="F45" s="4">
        <f>ROUND(Source!AO41,O45)</f>
        <v>0</v>
      </c>
      <c r="G45" s="4" t="s">
        <v>59</v>
      </c>
      <c r="H45" s="4" t="s">
        <v>60</v>
      </c>
      <c r="I45" s="4"/>
      <c r="J45" s="4"/>
      <c r="K45" s="4">
        <v>222</v>
      </c>
      <c r="L45" s="4">
        <v>3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 x14ac:dyDescent="0.2">
      <c r="A46" s="4">
        <v>50</v>
      </c>
      <c r="B46" s="4">
        <v>0</v>
      </c>
      <c r="C46" s="4">
        <v>0</v>
      </c>
      <c r="D46" s="4">
        <v>1</v>
      </c>
      <c r="E46" s="4">
        <v>225</v>
      </c>
      <c r="F46" s="4">
        <f>ROUND(Source!AV41,O46)</f>
        <v>0</v>
      </c>
      <c r="G46" s="4" t="s">
        <v>61</v>
      </c>
      <c r="H46" s="4" t="s">
        <v>62</v>
      </c>
      <c r="I46" s="4"/>
      <c r="J46" s="4"/>
      <c r="K46" s="4">
        <v>225</v>
      </c>
      <c r="L46" s="4">
        <v>4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 x14ac:dyDescent="0.2">
      <c r="A47" s="4">
        <v>50</v>
      </c>
      <c r="B47" s="4">
        <v>0</v>
      </c>
      <c r="C47" s="4">
        <v>0</v>
      </c>
      <c r="D47" s="4">
        <v>1</v>
      </c>
      <c r="E47" s="4">
        <v>226</v>
      </c>
      <c r="F47" s="4">
        <f>ROUND(Source!AW41,O47)</f>
        <v>0</v>
      </c>
      <c r="G47" s="4" t="s">
        <v>63</v>
      </c>
      <c r="H47" s="4" t="s">
        <v>64</v>
      </c>
      <c r="I47" s="4"/>
      <c r="J47" s="4"/>
      <c r="K47" s="4">
        <v>226</v>
      </c>
      <c r="L47" s="4">
        <v>5</v>
      </c>
      <c r="M47" s="4">
        <v>1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 x14ac:dyDescent="0.2">
      <c r="A48" s="4">
        <v>50</v>
      </c>
      <c r="B48" s="4">
        <v>0</v>
      </c>
      <c r="C48" s="4">
        <v>0</v>
      </c>
      <c r="D48" s="4">
        <v>1</v>
      </c>
      <c r="E48" s="4">
        <v>227</v>
      </c>
      <c r="F48" s="4">
        <f>ROUND(Source!AX41,O48)</f>
        <v>0</v>
      </c>
      <c r="G48" s="4" t="s">
        <v>65</v>
      </c>
      <c r="H48" s="4" t="s">
        <v>66</v>
      </c>
      <c r="I48" s="4"/>
      <c r="J48" s="4"/>
      <c r="K48" s="4">
        <v>227</v>
      </c>
      <c r="L48" s="4">
        <v>6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 x14ac:dyDescent="0.2">
      <c r="A49" s="4">
        <v>50</v>
      </c>
      <c r="B49" s="4">
        <v>0</v>
      </c>
      <c r="C49" s="4">
        <v>0</v>
      </c>
      <c r="D49" s="4">
        <v>1</v>
      </c>
      <c r="E49" s="4">
        <v>228</v>
      </c>
      <c r="F49" s="4">
        <f>ROUND(Source!AY41,O49)</f>
        <v>0</v>
      </c>
      <c r="G49" s="4" t="s">
        <v>67</v>
      </c>
      <c r="H49" s="4" t="s">
        <v>68</v>
      </c>
      <c r="I49" s="4"/>
      <c r="J49" s="4"/>
      <c r="K49" s="4">
        <v>228</v>
      </c>
      <c r="L49" s="4">
        <v>7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 x14ac:dyDescent="0.2">
      <c r="A50" s="4">
        <v>50</v>
      </c>
      <c r="B50" s="4">
        <v>0</v>
      </c>
      <c r="C50" s="4">
        <v>0</v>
      </c>
      <c r="D50" s="4">
        <v>1</v>
      </c>
      <c r="E50" s="4">
        <v>216</v>
      </c>
      <c r="F50" s="4">
        <f>ROUND(Source!AP41,O50)</f>
        <v>0</v>
      </c>
      <c r="G50" s="4" t="s">
        <v>69</v>
      </c>
      <c r="H50" s="4" t="s">
        <v>70</v>
      </c>
      <c r="I50" s="4"/>
      <c r="J50" s="4"/>
      <c r="K50" s="4">
        <v>216</v>
      </c>
      <c r="L50" s="4">
        <v>8</v>
      </c>
      <c r="M50" s="4">
        <v>1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 x14ac:dyDescent="0.2">
      <c r="A51" s="4">
        <v>50</v>
      </c>
      <c r="B51" s="4">
        <v>0</v>
      </c>
      <c r="C51" s="4">
        <v>0</v>
      </c>
      <c r="D51" s="4">
        <v>1</v>
      </c>
      <c r="E51" s="4">
        <v>223</v>
      </c>
      <c r="F51" s="4">
        <f>ROUND(Source!AQ41,O51)</f>
        <v>0</v>
      </c>
      <c r="G51" s="4" t="s">
        <v>71</v>
      </c>
      <c r="H51" s="4" t="s">
        <v>72</v>
      </c>
      <c r="I51" s="4"/>
      <c r="J51" s="4"/>
      <c r="K51" s="4">
        <v>223</v>
      </c>
      <c r="L51" s="4">
        <v>9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 x14ac:dyDescent="0.2">
      <c r="A52" s="4">
        <v>50</v>
      </c>
      <c r="B52" s="4">
        <v>0</v>
      </c>
      <c r="C52" s="4">
        <v>0</v>
      </c>
      <c r="D52" s="4">
        <v>1</v>
      </c>
      <c r="E52" s="4">
        <v>229</v>
      </c>
      <c r="F52" s="4">
        <f>ROUND(Source!AZ41,O52)</f>
        <v>0</v>
      </c>
      <c r="G52" s="4" t="s">
        <v>73</v>
      </c>
      <c r="H52" s="4" t="s">
        <v>74</v>
      </c>
      <c r="I52" s="4"/>
      <c r="J52" s="4"/>
      <c r="K52" s="4">
        <v>229</v>
      </c>
      <c r="L52" s="4">
        <v>10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 x14ac:dyDescent="0.2">
      <c r="A53" s="4">
        <v>50</v>
      </c>
      <c r="B53" s="4">
        <v>1</v>
      </c>
      <c r="C53" s="4">
        <v>0</v>
      </c>
      <c r="D53" s="4">
        <v>1</v>
      </c>
      <c r="E53" s="4">
        <v>203</v>
      </c>
      <c r="F53" s="4">
        <f>ROUND(Source!Q41,O53)</f>
        <v>291.81</v>
      </c>
      <c r="G53" s="4" t="s">
        <v>75</v>
      </c>
      <c r="H53" s="4" t="s">
        <v>76</v>
      </c>
      <c r="I53" s="4"/>
      <c r="J53" s="4"/>
      <c r="K53" s="4">
        <v>203</v>
      </c>
      <c r="L53" s="4">
        <v>11</v>
      </c>
      <c r="M53" s="4">
        <v>1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 x14ac:dyDescent="0.2">
      <c r="A54" s="4">
        <v>50</v>
      </c>
      <c r="B54" s="4">
        <v>0</v>
      </c>
      <c r="C54" s="4">
        <v>0</v>
      </c>
      <c r="D54" s="4">
        <v>1</v>
      </c>
      <c r="E54" s="4">
        <v>231</v>
      </c>
      <c r="F54" s="4">
        <f>ROUND(Source!BB41,O54)</f>
        <v>0</v>
      </c>
      <c r="G54" s="4" t="s">
        <v>77</v>
      </c>
      <c r="H54" s="4" t="s">
        <v>78</v>
      </c>
      <c r="I54" s="4"/>
      <c r="J54" s="4"/>
      <c r="K54" s="4">
        <v>231</v>
      </c>
      <c r="L54" s="4">
        <v>12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 x14ac:dyDescent="0.2">
      <c r="A55" s="4">
        <v>50</v>
      </c>
      <c r="B55" s="4">
        <v>1</v>
      </c>
      <c r="C55" s="4">
        <v>0</v>
      </c>
      <c r="D55" s="4">
        <v>1</v>
      </c>
      <c r="E55" s="4">
        <v>204</v>
      </c>
      <c r="F55" s="4">
        <f>ROUND(Source!R41,O55)</f>
        <v>72.8</v>
      </c>
      <c r="G55" s="4" t="s">
        <v>79</v>
      </c>
      <c r="H55" s="4" t="s">
        <v>80</v>
      </c>
      <c r="I55" s="4"/>
      <c r="J55" s="4"/>
      <c r="K55" s="4">
        <v>204</v>
      </c>
      <c r="L55" s="4">
        <v>13</v>
      </c>
      <c r="M55" s="4">
        <v>1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 x14ac:dyDescent="0.2">
      <c r="A56" s="4">
        <v>50</v>
      </c>
      <c r="B56" s="4">
        <v>1</v>
      </c>
      <c r="C56" s="4">
        <v>0</v>
      </c>
      <c r="D56" s="4">
        <v>1</v>
      </c>
      <c r="E56" s="4">
        <v>205</v>
      </c>
      <c r="F56" s="4">
        <f>ROUND(Source!S41,O56)</f>
        <v>3911.91</v>
      </c>
      <c r="G56" s="4" t="s">
        <v>81</v>
      </c>
      <c r="H56" s="4" t="s">
        <v>82</v>
      </c>
      <c r="I56" s="4"/>
      <c r="J56" s="4"/>
      <c r="K56" s="4">
        <v>205</v>
      </c>
      <c r="L56" s="4">
        <v>14</v>
      </c>
      <c r="M56" s="4">
        <v>1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 x14ac:dyDescent="0.2">
      <c r="A57" s="4">
        <v>50</v>
      </c>
      <c r="B57" s="4">
        <v>0</v>
      </c>
      <c r="C57" s="4">
        <v>0</v>
      </c>
      <c r="D57" s="4">
        <v>1</v>
      </c>
      <c r="E57" s="4">
        <v>232</v>
      </c>
      <c r="F57" s="4">
        <f>ROUND(Source!BC41,O57)</f>
        <v>0</v>
      </c>
      <c r="G57" s="4" t="s">
        <v>83</v>
      </c>
      <c r="H57" s="4" t="s">
        <v>84</v>
      </c>
      <c r="I57" s="4"/>
      <c r="J57" s="4"/>
      <c r="K57" s="4">
        <v>232</v>
      </c>
      <c r="L57" s="4">
        <v>15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 x14ac:dyDescent="0.2">
      <c r="A58" s="4">
        <v>50</v>
      </c>
      <c r="B58" s="4">
        <v>1</v>
      </c>
      <c r="C58" s="4">
        <v>0</v>
      </c>
      <c r="D58" s="4">
        <v>1</v>
      </c>
      <c r="E58" s="4">
        <v>214</v>
      </c>
      <c r="F58" s="4">
        <f>ROUND(Source!AS41,O58)</f>
        <v>9941.7099999999991</v>
      </c>
      <c r="G58" s="4" t="s">
        <v>85</v>
      </c>
      <c r="H58" s="4" t="s">
        <v>86</v>
      </c>
      <c r="I58" s="4"/>
      <c r="J58" s="4"/>
      <c r="K58" s="4">
        <v>214</v>
      </c>
      <c r="L58" s="4">
        <v>16</v>
      </c>
      <c r="M58" s="4">
        <v>1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 x14ac:dyDescent="0.2">
      <c r="A59" s="4">
        <v>50</v>
      </c>
      <c r="B59" s="4">
        <v>0</v>
      </c>
      <c r="C59" s="4">
        <v>0</v>
      </c>
      <c r="D59" s="4">
        <v>1</v>
      </c>
      <c r="E59" s="4">
        <v>215</v>
      </c>
      <c r="F59" s="4">
        <f>ROUND(Source!AT41,O59)</f>
        <v>0</v>
      </c>
      <c r="G59" s="4" t="s">
        <v>87</v>
      </c>
      <c r="H59" s="4" t="s">
        <v>88</v>
      </c>
      <c r="I59" s="4"/>
      <c r="J59" s="4"/>
      <c r="K59" s="4">
        <v>215</v>
      </c>
      <c r="L59" s="4">
        <v>17</v>
      </c>
      <c r="M59" s="4">
        <v>1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 x14ac:dyDescent="0.2">
      <c r="A60" s="4">
        <v>50</v>
      </c>
      <c r="B60" s="4">
        <v>0</v>
      </c>
      <c r="C60" s="4">
        <v>0</v>
      </c>
      <c r="D60" s="4">
        <v>1</v>
      </c>
      <c r="E60" s="4">
        <v>217</v>
      </c>
      <c r="F60" s="4">
        <f>ROUND(Source!AU41,O60)</f>
        <v>0</v>
      </c>
      <c r="G60" s="4" t="s">
        <v>89</v>
      </c>
      <c r="H60" s="4" t="s">
        <v>90</v>
      </c>
      <c r="I60" s="4"/>
      <c r="J60" s="4"/>
      <c r="K60" s="4">
        <v>217</v>
      </c>
      <c r="L60" s="4">
        <v>18</v>
      </c>
      <c r="M60" s="4">
        <v>1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 x14ac:dyDescent="0.2">
      <c r="A61" s="4">
        <v>50</v>
      </c>
      <c r="B61" s="4">
        <v>0</v>
      </c>
      <c r="C61" s="4">
        <v>0</v>
      </c>
      <c r="D61" s="4">
        <v>1</v>
      </c>
      <c r="E61" s="4">
        <v>230</v>
      </c>
      <c r="F61" s="4">
        <f>ROUND(Source!BA41,O61)</f>
        <v>0</v>
      </c>
      <c r="G61" s="4" t="s">
        <v>91</v>
      </c>
      <c r="H61" s="4" t="s">
        <v>92</v>
      </c>
      <c r="I61" s="4"/>
      <c r="J61" s="4"/>
      <c r="K61" s="4">
        <v>230</v>
      </c>
      <c r="L61" s="4">
        <v>19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 x14ac:dyDescent="0.2">
      <c r="A62" s="4">
        <v>50</v>
      </c>
      <c r="B62" s="4">
        <v>0</v>
      </c>
      <c r="C62" s="4">
        <v>0</v>
      </c>
      <c r="D62" s="4">
        <v>1</v>
      </c>
      <c r="E62" s="4">
        <v>206</v>
      </c>
      <c r="F62" s="4">
        <f>ROUND(Source!T41,O62)</f>
        <v>0</v>
      </c>
      <c r="G62" s="4" t="s">
        <v>93</v>
      </c>
      <c r="H62" s="4" t="s">
        <v>94</v>
      </c>
      <c r="I62" s="4"/>
      <c r="J62" s="4"/>
      <c r="K62" s="4">
        <v>206</v>
      </c>
      <c r="L62" s="4">
        <v>20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 x14ac:dyDescent="0.2">
      <c r="A63" s="4">
        <v>50</v>
      </c>
      <c r="B63" s="4">
        <v>1</v>
      </c>
      <c r="C63" s="4">
        <v>0</v>
      </c>
      <c r="D63" s="4">
        <v>1</v>
      </c>
      <c r="E63" s="4">
        <v>207</v>
      </c>
      <c r="F63" s="4">
        <f>ROUND(Source!U41,O63)</f>
        <v>62.88</v>
      </c>
      <c r="G63" s="4" t="s">
        <v>95</v>
      </c>
      <c r="H63" s="4" t="s">
        <v>96</v>
      </c>
      <c r="I63" s="4"/>
      <c r="J63" s="4"/>
      <c r="K63" s="4">
        <v>207</v>
      </c>
      <c r="L63" s="4">
        <v>21</v>
      </c>
      <c r="M63" s="4">
        <v>1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 x14ac:dyDescent="0.2">
      <c r="A64" s="4">
        <v>50</v>
      </c>
      <c r="B64" s="4">
        <v>1</v>
      </c>
      <c r="C64" s="4">
        <v>0</v>
      </c>
      <c r="D64" s="4">
        <v>1</v>
      </c>
      <c r="E64" s="4">
        <v>208</v>
      </c>
      <c r="F64" s="4">
        <f>ROUND(Source!V41,O64)</f>
        <v>0.7</v>
      </c>
      <c r="G64" s="4" t="s">
        <v>97</v>
      </c>
      <c r="H64" s="4" t="s">
        <v>98</v>
      </c>
      <c r="I64" s="4"/>
      <c r="J64" s="4"/>
      <c r="K64" s="4">
        <v>208</v>
      </c>
      <c r="L64" s="4">
        <v>22</v>
      </c>
      <c r="M64" s="4">
        <v>1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45" x14ac:dyDescent="0.2">
      <c r="A65" s="4">
        <v>50</v>
      </c>
      <c r="B65" s="4">
        <v>0</v>
      </c>
      <c r="C65" s="4">
        <v>0</v>
      </c>
      <c r="D65" s="4">
        <v>1</v>
      </c>
      <c r="E65" s="4">
        <v>209</v>
      </c>
      <c r="F65" s="4">
        <f>ROUND(Source!W41,O65)</f>
        <v>0</v>
      </c>
      <c r="G65" s="4" t="s">
        <v>99</v>
      </c>
      <c r="H65" s="4" t="s">
        <v>100</v>
      </c>
      <c r="I65" s="4"/>
      <c r="J65" s="4"/>
      <c r="K65" s="4">
        <v>209</v>
      </c>
      <c r="L65" s="4">
        <v>23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45" x14ac:dyDescent="0.2">
      <c r="A66" s="4">
        <v>50</v>
      </c>
      <c r="B66" s="4">
        <v>0</v>
      </c>
      <c r="C66" s="4">
        <v>0</v>
      </c>
      <c r="D66" s="4">
        <v>1</v>
      </c>
      <c r="E66" s="4">
        <v>233</v>
      </c>
      <c r="F66" s="4">
        <f>ROUND(Source!BD41,O66)</f>
        <v>0</v>
      </c>
      <c r="G66" s="4" t="s">
        <v>101</v>
      </c>
      <c r="H66" s="4" t="s">
        <v>102</v>
      </c>
      <c r="I66" s="4"/>
      <c r="J66" s="4"/>
      <c r="K66" s="4">
        <v>233</v>
      </c>
      <c r="L66" s="4">
        <v>24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45" x14ac:dyDescent="0.2">
      <c r="A67" s="4">
        <v>50</v>
      </c>
      <c r="B67" s="4">
        <v>1</v>
      </c>
      <c r="C67" s="4">
        <v>0</v>
      </c>
      <c r="D67" s="4">
        <v>1</v>
      </c>
      <c r="E67" s="4">
        <v>210</v>
      </c>
      <c r="F67" s="4">
        <f>ROUND(Source!X41,O67)</f>
        <v>3267.47</v>
      </c>
      <c r="G67" s="4" t="s">
        <v>103</v>
      </c>
      <c r="H67" s="4" t="s">
        <v>104</v>
      </c>
      <c r="I67" s="4"/>
      <c r="J67" s="4"/>
      <c r="K67" s="4">
        <v>210</v>
      </c>
      <c r="L67" s="4">
        <v>25</v>
      </c>
      <c r="M67" s="4">
        <v>1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45" x14ac:dyDescent="0.2">
      <c r="A68" s="4">
        <v>50</v>
      </c>
      <c r="B68" s="4">
        <v>1</v>
      </c>
      <c r="C68" s="4">
        <v>0</v>
      </c>
      <c r="D68" s="4">
        <v>1</v>
      </c>
      <c r="E68" s="4">
        <v>211</v>
      </c>
      <c r="F68" s="4">
        <f>ROUND(Source!Y41,O68)</f>
        <v>2470.52</v>
      </c>
      <c r="G68" s="4" t="s">
        <v>105</v>
      </c>
      <c r="H68" s="4" t="s">
        <v>106</v>
      </c>
      <c r="I68" s="4"/>
      <c r="J68" s="4"/>
      <c r="K68" s="4">
        <v>211</v>
      </c>
      <c r="L68" s="4">
        <v>26</v>
      </c>
      <c r="M68" s="4">
        <v>1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45" x14ac:dyDescent="0.2">
      <c r="A69" s="4">
        <v>50</v>
      </c>
      <c r="B69" s="4">
        <v>1</v>
      </c>
      <c r="C69" s="4">
        <v>0</v>
      </c>
      <c r="D69" s="4">
        <v>1</v>
      </c>
      <c r="E69" s="4">
        <v>224</v>
      </c>
      <c r="F69" s="4">
        <f>ROUND(Source!AR41,O69)</f>
        <v>9941.7099999999991</v>
      </c>
      <c r="G69" s="4" t="s">
        <v>107</v>
      </c>
      <c r="H69" s="4" t="s">
        <v>108</v>
      </c>
      <c r="I69" s="4"/>
      <c r="J69" s="4"/>
      <c r="K69" s="4">
        <v>224</v>
      </c>
      <c r="L69" s="4">
        <v>27</v>
      </c>
      <c r="M69" s="4">
        <v>1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1" spans="1:245" x14ac:dyDescent="0.2">
      <c r="A71" s="1">
        <v>4</v>
      </c>
      <c r="B71" s="1">
        <v>1</v>
      </c>
      <c r="C71" s="1"/>
      <c r="D71" s="1">
        <f>ROW(A96)</f>
        <v>96</v>
      </c>
      <c r="E71" s="1"/>
      <c r="F71" s="1" t="s">
        <v>13</v>
      </c>
      <c r="G71" s="1" t="s">
        <v>21</v>
      </c>
      <c r="H71" s="1" t="s">
        <v>3</v>
      </c>
      <c r="I71" s="1">
        <v>0</v>
      </c>
      <c r="J71" s="1"/>
      <c r="K71" s="1">
        <v>-1</v>
      </c>
      <c r="L71" s="1"/>
      <c r="M71" s="1" t="s">
        <v>3</v>
      </c>
      <c r="N71" s="1"/>
      <c r="O71" s="1"/>
      <c r="P71" s="1"/>
      <c r="Q71" s="1"/>
      <c r="R71" s="1"/>
      <c r="S71" s="1">
        <v>0</v>
      </c>
      <c r="T71" s="1"/>
      <c r="U71" s="1" t="s">
        <v>3</v>
      </c>
      <c r="V71" s="1">
        <v>0</v>
      </c>
      <c r="W71" s="1"/>
      <c r="X71" s="1"/>
      <c r="Y71" s="1"/>
      <c r="Z71" s="1"/>
      <c r="AA71" s="1"/>
      <c r="AB71" s="1" t="s">
        <v>3</v>
      </c>
      <c r="AC71" s="1" t="s">
        <v>3</v>
      </c>
      <c r="AD71" s="1" t="s">
        <v>3</v>
      </c>
      <c r="AE71" s="1" t="s">
        <v>3</v>
      </c>
      <c r="AF71" s="1" t="s">
        <v>3</v>
      </c>
      <c r="AG71" s="1" t="s">
        <v>3</v>
      </c>
      <c r="AH71" s="1"/>
      <c r="AI71" s="1"/>
      <c r="AJ71" s="1"/>
      <c r="AK71" s="1"/>
      <c r="AL71" s="1"/>
      <c r="AM71" s="1"/>
      <c r="AN71" s="1"/>
      <c r="AO71" s="1"/>
      <c r="AP71" s="1" t="s">
        <v>3</v>
      </c>
      <c r="AQ71" s="1" t="s">
        <v>3</v>
      </c>
      <c r="AR71" s="1" t="s">
        <v>3</v>
      </c>
      <c r="AS71" s="1"/>
      <c r="AT71" s="1"/>
      <c r="AU71" s="1"/>
      <c r="AV71" s="1"/>
      <c r="AW71" s="1"/>
      <c r="AX71" s="1"/>
      <c r="AY71" s="1"/>
      <c r="AZ71" s="1" t="s">
        <v>3</v>
      </c>
      <c r="BA71" s="1"/>
      <c r="BB71" s="1" t="s">
        <v>3</v>
      </c>
      <c r="BC71" s="1" t="s">
        <v>3</v>
      </c>
      <c r="BD71" s="1" t="s">
        <v>3</v>
      </c>
      <c r="BE71" s="1" t="s">
        <v>3</v>
      </c>
      <c r="BF71" s="1" t="s">
        <v>3</v>
      </c>
      <c r="BG71" s="1" t="s">
        <v>3</v>
      </c>
      <c r="BH71" s="1" t="s">
        <v>3</v>
      </c>
      <c r="BI71" s="1" t="s">
        <v>3</v>
      </c>
      <c r="BJ71" s="1" t="s">
        <v>3</v>
      </c>
      <c r="BK71" s="1" t="s">
        <v>3</v>
      </c>
      <c r="BL71" s="1" t="s">
        <v>3</v>
      </c>
      <c r="BM71" s="1" t="s">
        <v>3</v>
      </c>
      <c r="BN71" s="1" t="s">
        <v>3</v>
      </c>
      <c r="BO71" s="1" t="s">
        <v>3</v>
      </c>
      <c r="BP71" s="1" t="s">
        <v>3</v>
      </c>
      <c r="BQ71" s="1"/>
      <c r="BR71" s="1"/>
      <c r="BS71" s="1"/>
      <c r="BT71" s="1"/>
      <c r="BU71" s="1"/>
      <c r="BV71" s="1"/>
      <c r="BW71" s="1"/>
      <c r="BX71" s="1">
        <v>0</v>
      </c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>
        <v>0</v>
      </c>
    </row>
    <row r="73" spans="1:245" x14ac:dyDescent="0.2">
      <c r="A73" s="2">
        <v>52</v>
      </c>
      <c r="B73" s="2">
        <f t="shared" ref="B73:G73" si="63">B96</f>
        <v>1</v>
      </c>
      <c r="C73" s="2">
        <f t="shared" si="63"/>
        <v>4</v>
      </c>
      <c r="D73" s="2">
        <f t="shared" si="63"/>
        <v>71</v>
      </c>
      <c r="E73" s="2">
        <f t="shared" si="63"/>
        <v>0</v>
      </c>
      <c r="F73" s="2" t="str">
        <f t="shared" si="63"/>
        <v>Новый раздел</v>
      </c>
      <c r="G73" s="2" t="str">
        <f t="shared" si="63"/>
        <v>Ремонтно-строительные работы</v>
      </c>
      <c r="H73" s="2"/>
      <c r="I73" s="2"/>
      <c r="J73" s="2"/>
      <c r="K73" s="2"/>
      <c r="L73" s="2"/>
      <c r="M73" s="2"/>
      <c r="N73" s="2"/>
      <c r="O73" s="2">
        <f t="shared" ref="O73:AT73" si="64">O96</f>
        <v>749794.97</v>
      </c>
      <c r="P73" s="2">
        <f t="shared" si="64"/>
        <v>732716</v>
      </c>
      <c r="Q73" s="2">
        <f t="shared" si="64"/>
        <v>4101.5</v>
      </c>
      <c r="R73" s="2">
        <f t="shared" si="64"/>
        <v>649.03</v>
      </c>
      <c r="S73" s="2">
        <f t="shared" si="64"/>
        <v>12977.47</v>
      </c>
      <c r="T73" s="2">
        <f t="shared" si="64"/>
        <v>0</v>
      </c>
      <c r="U73" s="2">
        <f t="shared" si="64"/>
        <v>184.22956459999997</v>
      </c>
      <c r="V73" s="2">
        <f t="shared" si="64"/>
        <v>7.1508950000000002</v>
      </c>
      <c r="W73" s="2">
        <f t="shared" si="64"/>
        <v>0</v>
      </c>
      <c r="X73" s="2">
        <f t="shared" si="64"/>
        <v>13213.9</v>
      </c>
      <c r="Y73" s="2">
        <f t="shared" si="64"/>
        <v>8078.91</v>
      </c>
      <c r="Z73" s="2">
        <f t="shared" si="64"/>
        <v>0</v>
      </c>
      <c r="AA73" s="2">
        <f t="shared" si="64"/>
        <v>0</v>
      </c>
      <c r="AB73" s="2">
        <f t="shared" si="64"/>
        <v>749794.97</v>
      </c>
      <c r="AC73" s="2">
        <f t="shared" si="64"/>
        <v>732716</v>
      </c>
      <c r="AD73" s="2">
        <f t="shared" si="64"/>
        <v>4101.5</v>
      </c>
      <c r="AE73" s="2">
        <f t="shared" si="64"/>
        <v>649.03</v>
      </c>
      <c r="AF73" s="2">
        <f t="shared" si="64"/>
        <v>12977.47</v>
      </c>
      <c r="AG73" s="2">
        <f t="shared" si="64"/>
        <v>0</v>
      </c>
      <c r="AH73" s="2">
        <f t="shared" si="64"/>
        <v>184.22956459999997</v>
      </c>
      <c r="AI73" s="2">
        <f t="shared" si="64"/>
        <v>7.1508950000000002</v>
      </c>
      <c r="AJ73" s="2">
        <f t="shared" si="64"/>
        <v>0</v>
      </c>
      <c r="AK73" s="2">
        <f t="shared" si="64"/>
        <v>13213.9</v>
      </c>
      <c r="AL73" s="2">
        <f t="shared" si="64"/>
        <v>8078.91</v>
      </c>
      <c r="AM73" s="2">
        <f t="shared" si="64"/>
        <v>0</v>
      </c>
      <c r="AN73" s="2">
        <f t="shared" si="64"/>
        <v>0</v>
      </c>
      <c r="AO73" s="2">
        <f t="shared" si="64"/>
        <v>0</v>
      </c>
      <c r="AP73" s="2">
        <f t="shared" si="64"/>
        <v>0</v>
      </c>
      <c r="AQ73" s="2">
        <f t="shared" si="64"/>
        <v>0</v>
      </c>
      <c r="AR73" s="2">
        <f t="shared" si="64"/>
        <v>771087.78</v>
      </c>
      <c r="AS73" s="2">
        <f t="shared" si="64"/>
        <v>771087.78</v>
      </c>
      <c r="AT73" s="2">
        <f t="shared" si="64"/>
        <v>0</v>
      </c>
      <c r="AU73" s="2">
        <f t="shared" ref="AU73:BZ73" si="65">AU96</f>
        <v>0</v>
      </c>
      <c r="AV73" s="2">
        <f t="shared" si="65"/>
        <v>732716</v>
      </c>
      <c r="AW73" s="2">
        <f t="shared" si="65"/>
        <v>732716</v>
      </c>
      <c r="AX73" s="2">
        <f t="shared" si="65"/>
        <v>0</v>
      </c>
      <c r="AY73" s="2">
        <f t="shared" si="65"/>
        <v>732716</v>
      </c>
      <c r="AZ73" s="2">
        <f t="shared" si="65"/>
        <v>0</v>
      </c>
      <c r="BA73" s="2">
        <f t="shared" si="65"/>
        <v>0</v>
      </c>
      <c r="BB73" s="2">
        <f t="shared" si="65"/>
        <v>0</v>
      </c>
      <c r="BC73" s="2">
        <f t="shared" si="65"/>
        <v>0</v>
      </c>
      <c r="BD73" s="2">
        <f t="shared" si="65"/>
        <v>0</v>
      </c>
      <c r="BE73" s="2">
        <f t="shared" si="65"/>
        <v>0</v>
      </c>
      <c r="BF73" s="2">
        <f t="shared" si="65"/>
        <v>0</v>
      </c>
      <c r="BG73" s="2">
        <f t="shared" si="65"/>
        <v>0</v>
      </c>
      <c r="BH73" s="2">
        <f t="shared" si="65"/>
        <v>0</v>
      </c>
      <c r="BI73" s="2">
        <f t="shared" si="65"/>
        <v>0</v>
      </c>
      <c r="BJ73" s="2">
        <f t="shared" si="65"/>
        <v>0</v>
      </c>
      <c r="BK73" s="2">
        <f t="shared" si="65"/>
        <v>0</v>
      </c>
      <c r="BL73" s="2">
        <f t="shared" si="65"/>
        <v>0</v>
      </c>
      <c r="BM73" s="2">
        <f t="shared" si="65"/>
        <v>0</v>
      </c>
      <c r="BN73" s="2">
        <f t="shared" si="65"/>
        <v>0</v>
      </c>
      <c r="BO73" s="2">
        <f t="shared" si="65"/>
        <v>0</v>
      </c>
      <c r="BP73" s="2">
        <f t="shared" si="65"/>
        <v>0</v>
      </c>
      <c r="BQ73" s="2">
        <f t="shared" si="65"/>
        <v>0</v>
      </c>
      <c r="BR73" s="2">
        <f t="shared" si="65"/>
        <v>0</v>
      </c>
      <c r="BS73" s="2">
        <f t="shared" si="65"/>
        <v>0</v>
      </c>
      <c r="BT73" s="2">
        <f t="shared" si="65"/>
        <v>0</v>
      </c>
      <c r="BU73" s="2">
        <f t="shared" si="65"/>
        <v>0</v>
      </c>
      <c r="BV73" s="2">
        <f t="shared" si="65"/>
        <v>0</v>
      </c>
      <c r="BW73" s="2">
        <f t="shared" si="65"/>
        <v>0</v>
      </c>
      <c r="BX73" s="2">
        <f t="shared" si="65"/>
        <v>0</v>
      </c>
      <c r="BY73" s="2">
        <f t="shared" si="65"/>
        <v>0</v>
      </c>
      <c r="BZ73" s="2">
        <f t="shared" si="65"/>
        <v>0</v>
      </c>
      <c r="CA73" s="2">
        <f t="shared" ref="CA73:DF73" si="66">CA96</f>
        <v>771087.78</v>
      </c>
      <c r="CB73" s="2">
        <f t="shared" si="66"/>
        <v>771087.78</v>
      </c>
      <c r="CC73" s="2">
        <f t="shared" si="66"/>
        <v>0</v>
      </c>
      <c r="CD73" s="2">
        <f t="shared" si="66"/>
        <v>0</v>
      </c>
      <c r="CE73" s="2">
        <f t="shared" si="66"/>
        <v>732716</v>
      </c>
      <c r="CF73" s="2">
        <f t="shared" si="66"/>
        <v>732716</v>
      </c>
      <c r="CG73" s="2">
        <f t="shared" si="66"/>
        <v>0</v>
      </c>
      <c r="CH73" s="2">
        <f t="shared" si="66"/>
        <v>732716</v>
      </c>
      <c r="CI73" s="2">
        <f t="shared" si="66"/>
        <v>0</v>
      </c>
      <c r="CJ73" s="2">
        <f t="shared" si="66"/>
        <v>0</v>
      </c>
      <c r="CK73" s="2">
        <f t="shared" si="66"/>
        <v>0</v>
      </c>
      <c r="CL73" s="2">
        <f t="shared" si="66"/>
        <v>0</v>
      </c>
      <c r="CM73" s="2">
        <f t="shared" si="66"/>
        <v>0</v>
      </c>
      <c r="CN73" s="2">
        <f t="shared" si="66"/>
        <v>0</v>
      </c>
      <c r="CO73" s="2">
        <f t="shared" si="66"/>
        <v>0</v>
      </c>
      <c r="CP73" s="2">
        <f t="shared" si="66"/>
        <v>0</v>
      </c>
      <c r="CQ73" s="2">
        <f t="shared" si="66"/>
        <v>0</v>
      </c>
      <c r="CR73" s="2">
        <f t="shared" si="66"/>
        <v>0</v>
      </c>
      <c r="CS73" s="2">
        <f t="shared" si="66"/>
        <v>0</v>
      </c>
      <c r="CT73" s="2">
        <f t="shared" si="66"/>
        <v>0</v>
      </c>
      <c r="CU73" s="2">
        <f t="shared" si="66"/>
        <v>0</v>
      </c>
      <c r="CV73" s="2">
        <f t="shared" si="66"/>
        <v>0</v>
      </c>
      <c r="CW73" s="2">
        <f t="shared" si="66"/>
        <v>0</v>
      </c>
      <c r="CX73" s="2">
        <f t="shared" si="66"/>
        <v>0</v>
      </c>
      <c r="CY73" s="2">
        <f t="shared" si="66"/>
        <v>0</v>
      </c>
      <c r="CZ73" s="2">
        <f t="shared" si="66"/>
        <v>0</v>
      </c>
      <c r="DA73" s="2">
        <f t="shared" si="66"/>
        <v>0</v>
      </c>
      <c r="DB73" s="2">
        <f t="shared" si="66"/>
        <v>0</v>
      </c>
      <c r="DC73" s="2">
        <f t="shared" si="66"/>
        <v>0</v>
      </c>
      <c r="DD73" s="2">
        <f t="shared" si="66"/>
        <v>0</v>
      </c>
      <c r="DE73" s="2">
        <f t="shared" si="66"/>
        <v>0</v>
      </c>
      <c r="DF73" s="2">
        <f t="shared" si="66"/>
        <v>0</v>
      </c>
      <c r="DG73" s="3">
        <f t="shared" ref="DG73:EL73" si="67">DG96</f>
        <v>0</v>
      </c>
      <c r="DH73" s="3">
        <f t="shared" si="67"/>
        <v>0</v>
      </c>
      <c r="DI73" s="3">
        <f t="shared" si="67"/>
        <v>0</v>
      </c>
      <c r="DJ73" s="3">
        <f t="shared" si="67"/>
        <v>0</v>
      </c>
      <c r="DK73" s="3">
        <f t="shared" si="67"/>
        <v>0</v>
      </c>
      <c r="DL73" s="3">
        <f t="shared" si="67"/>
        <v>0</v>
      </c>
      <c r="DM73" s="3">
        <f t="shared" si="67"/>
        <v>0</v>
      </c>
      <c r="DN73" s="3">
        <f t="shared" si="67"/>
        <v>0</v>
      </c>
      <c r="DO73" s="3">
        <f t="shared" si="67"/>
        <v>0</v>
      </c>
      <c r="DP73" s="3">
        <f t="shared" si="67"/>
        <v>0</v>
      </c>
      <c r="DQ73" s="3">
        <f t="shared" si="67"/>
        <v>0</v>
      </c>
      <c r="DR73" s="3">
        <f t="shared" si="67"/>
        <v>0</v>
      </c>
      <c r="DS73" s="3">
        <f t="shared" si="67"/>
        <v>0</v>
      </c>
      <c r="DT73" s="3">
        <f t="shared" si="67"/>
        <v>0</v>
      </c>
      <c r="DU73" s="3">
        <f t="shared" si="67"/>
        <v>0</v>
      </c>
      <c r="DV73" s="3">
        <f t="shared" si="67"/>
        <v>0</v>
      </c>
      <c r="DW73" s="3">
        <f t="shared" si="67"/>
        <v>0</v>
      </c>
      <c r="DX73" s="3">
        <f t="shared" si="67"/>
        <v>0</v>
      </c>
      <c r="DY73" s="3">
        <f t="shared" si="67"/>
        <v>0</v>
      </c>
      <c r="DZ73" s="3">
        <f t="shared" si="67"/>
        <v>0</v>
      </c>
      <c r="EA73" s="3">
        <f t="shared" si="67"/>
        <v>0</v>
      </c>
      <c r="EB73" s="3">
        <f t="shared" si="67"/>
        <v>0</v>
      </c>
      <c r="EC73" s="3">
        <f t="shared" si="67"/>
        <v>0</v>
      </c>
      <c r="ED73" s="3">
        <f t="shared" si="67"/>
        <v>0</v>
      </c>
      <c r="EE73" s="3">
        <f t="shared" si="67"/>
        <v>0</v>
      </c>
      <c r="EF73" s="3">
        <f t="shared" si="67"/>
        <v>0</v>
      </c>
      <c r="EG73" s="3">
        <f t="shared" si="67"/>
        <v>0</v>
      </c>
      <c r="EH73" s="3">
        <f t="shared" si="67"/>
        <v>0</v>
      </c>
      <c r="EI73" s="3">
        <f t="shared" si="67"/>
        <v>0</v>
      </c>
      <c r="EJ73" s="3">
        <f t="shared" si="67"/>
        <v>0</v>
      </c>
      <c r="EK73" s="3">
        <f t="shared" si="67"/>
        <v>0</v>
      </c>
      <c r="EL73" s="3">
        <f t="shared" si="67"/>
        <v>0</v>
      </c>
      <c r="EM73" s="3">
        <f t="shared" ref="EM73:FR73" si="68">EM96</f>
        <v>0</v>
      </c>
      <c r="EN73" s="3">
        <f t="shared" si="68"/>
        <v>0</v>
      </c>
      <c r="EO73" s="3">
        <f t="shared" si="68"/>
        <v>0</v>
      </c>
      <c r="EP73" s="3">
        <f t="shared" si="68"/>
        <v>0</v>
      </c>
      <c r="EQ73" s="3">
        <f t="shared" si="68"/>
        <v>0</v>
      </c>
      <c r="ER73" s="3">
        <f t="shared" si="68"/>
        <v>0</v>
      </c>
      <c r="ES73" s="3">
        <f t="shared" si="68"/>
        <v>0</v>
      </c>
      <c r="ET73" s="3">
        <f t="shared" si="68"/>
        <v>0</v>
      </c>
      <c r="EU73" s="3">
        <f t="shared" si="68"/>
        <v>0</v>
      </c>
      <c r="EV73" s="3">
        <f t="shared" si="68"/>
        <v>0</v>
      </c>
      <c r="EW73" s="3">
        <f t="shared" si="68"/>
        <v>0</v>
      </c>
      <c r="EX73" s="3">
        <f t="shared" si="68"/>
        <v>0</v>
      </c>
      <c r="EY73" s="3">
        <f t="shared" si="68"/>
        <v>0</v>
      </c>
      <c r="EZ73" s="3">
        <f t="shared" si="68"/>
        <v>0</v>
      </c>
      <c r="FA73" s="3">
        <f t="shared" si="68"/>
        <v>0</v>
      </c>
      <c r="FB73" s="3">
        <f t="shared" si="68"/>
        <v>0</v>
      </c>
      <c r="FC73" s="3">
        <f t="shared" si="68"/>
        <v>0</v>
      </c>
      <c r="FD73" s="3">
        <f t="shared" si="68"/>
        <v>0</v>
      </c>
      <c r="FE73" s="3">
        <f t="shared" si="68"/>
        <v>0</v>
      </c>
      <c r="FF73" s="3">
        <f t="shared" si="68"/>
        <v>0</v>
      </c>
      <c r="FG73" s="3">
        <f t="shared" si="68"/>
        <v>0</v>
      </c>
      <c r="FH73" s="3">
        <f t="shared" si="68"/>
        <v>0</v>
      </c>
      <c r="FI73" s="3">
        <f t="shared" si="68"/>
        <v>0</v>
      </c>
      <c r="FJ73" s="3">
        <f t="shared" si="68"/>
        <v>0</v>
      </c>
      <c r="FK73" s="3">
        <f t="shared" si="68"/>
        <v>0</v>
      </c>
      <c r="FL73" s="3">
        <f t="shared" si="68"/>
        <v>0</v>
      </c>
      <c r="FM73" s="3">
        <f t="shared" si="68"/>
        <v>0</v>
      </c>
      <c r="FN73" s="3">
        <f t="shared" si="68"/>
        <v>0</v>
      </c>
      <c r="FO73" s="3">
        <f t="shared" si="68"/>
        <v>0</v>
      </c>
      <c r="FP73" s="3">
        <f t="shared" si="68"/>
        <v>0</v>
      </c>
      <c r="FQ73" s="3">
        <f t="shared" si="68"/>
        <v>0</v>
      </c>
      <c r="FR73" s="3">
        <f t="shared" si="68"/>
        <v>0</v>
      </c>
      <c r="FS73" s="3">
        <f t="shared" ref="FS73:GX73" si="69">FS96</f>
        <v>0</v>
      </c>
      <c r="FT73" s="3">
        <f t="shared" si="69"/>
        <v>0</v>
      </c>
      <c r="FU73" s="3">
        <f t="shared" si="69"/>
        <v>0</v>
      </c>
      <c r="FV73" s="3">
        <f t="shared" si="69"/>
        <v>0</v>
      </c>
      <c r="FW73" s="3">
        <f t="shared" si="69"/>
        <v>0</v>
      </c>
      <c r="FX73" s="3">
        <f t="shared" si="69"/>
        <v>0</v>
      </c>
      <c r="FY73" s="3">
        <f t="shared" si="69"/>
        <v>0</v>
      </c>
      <c r="FZ73" s="3">
        <f t="shared" si="69"/>
        <v>0</v>
      </c>
      <c r="GA73" s="3">
        <f t="shared" si="69"/>
        <v>0</v>
      </c>
      <c r="GB73" s="3">
        <f t="shared" si="69"/>
        <v>0</v>
      </c>
      <c r="GC73" s="3">
        <f t="shared" si="69"/>
        <v>0</v>
      </c>
      <c r="GD73" s="3">
        <f t="shared" si="69"/>
        <v>0</v>
      </c>
      <c r="GE73" s="3">
        <f t="shared" si="69"/>
        <v>0</v>
      </c>
      <c r="GF73" s="3">
        <f t="shared" si="69"/>
        <v>0</v>
      </c>
      <c r="GG73" s="3">
        <f t="shared" si="69"/>
        <v>0</v>
      </c>
      <c r="GH73" s="3">
        <f t="shared" si="69"/>
        <v>0</v>
      </c>
      <c r="GI73" s="3">
        <f t="shared" si="69"/>
        <v>0</v>
      </c>
      <c r="GJ73" s="3">
        <f t="shared" si="69"/>
        <v>0</v>
      </c>
      <c r="GK73" s="3">
        <f t="shared" si="69"/>
        <v>0</v>
      </c>
      <c r="GL73" s="3">
        <f t="shared" si="69"/>
        <v>0</v>
      </c>
      <c r="GM73" s="3">
        <f t="shared" si="69"/>
        <v>0</v>
      </c>
      <c r="GN73" s="3">
        <f t="shared" si="69"/>
        <v>0</v>
      </c>
      <c r="GO73" s="3">
        <f t="shared" si="69"/>
        <v>0</v>
      </c>
      <c r="GP73" s="3">
        <f t="shared" si="69"/>
        <v>0</v>
      </c>
      <c r="GQ73" s="3">
        <f t="shared" si="69"/>
        <v>0</v>
      </c>
      <c r="GR73" s="3">
        <f t="shared" si="69"/>
        <v>0</v>
      </c>
      <c r="GS73" s="3">
        <f t="shared" si="69"/>
        <v>0</v>
      </c>
      <c r="GT73" s="3">
        <f t="shared" si="69"/>
        <v>0</v>
      </c>
      <c r="GU73" s="3">
        <f t="shared" si="69"/>
        <v>0</v>
      </c>
      <c r="GV73" s="3">
        <f t="shared" si="69"/>
        <v>0</v>
      </c>
      <c r="GW73" s="3">
        <f t="shared" si="69"/>
        <v>0</v>
      </c>
      <c r="GX73" s="3">
        <f t="shared" si="69"/>
        <v>0</v>
      </c>
    </row>
    <row r="75" spans="1:245" x14ac:dyDescent="0.2">
      <c r="A75">
        <v>17</v>
      </c>
      <c r="B75">
        <v>1</v>
      </c>
      <c r="C75">
        <f>ROW(SmtRes!A28)</f>
        <v>28</v>
      </c>
      <c r="D75">
        <f>ROW(EtalonRes!A28)</f>
        <v>28</v>
      </c>
      <c r="E75" t="s">
        <v>109</v>
      </c>
      <c r="F75" t="s">
        <v>110</v>
      </c>
      <c r="G75" t="s">
        <v>111</v>
      </c>
      <c r="H75" t="s">
        <v>42</v>
      </c>
      <c r="I75">
        <f>ROUND(2.5/100,4)</f>
        <v>2.5000000000000001E-2</v>
      </c>
      <c r="J75">
        <v>0</v>
      </c>
      <c r="O75">
        <f t="shared" ref="O75:O94" si="70">ROUND(CP75,2)</f>
        <v>87.81</v>
      </c>
      <c r="P75">
        <f t="shared" ref="P75:P94" si="71">ROUND(CQ75*I75,2)</f>
        <v>18.559999999999999</v>
      </c>
      <c r="Q75">
        <f t="shared" ref="Q75:Q94" si="72">ROUND(CR75*I75,2)</f>
        <v>0.99</v>
      </c>
      <c r="R75">
        <f t="shared" ref="R75:R94" si="73">ROUND(CS75*I75,2)</f>
        <v>0.3</v>
      </c>
      <c r="S75">
        <f t="shared" ref="S75:S94" si="74">ROUND(CT75*I75,2)</f>
        <v>68.260000000000005</v>
      </c>
      <c r="T75">
        <f t="shared" ref="T75:T94" si="75">ROUND(CU75*I75,2)</f>
        <v>0</v>
      </c>
      <c r="U75">
        <f t="shared" ref="U75:U94" si="76">CV75*I75</f>
        <v>1.03525</v>
      </c>
      <c r="V75">
        <f t="shared" ref="V75:V94" si="77">CW75*I75</f>
        <v>3.0000000000000001E-3</v>
      </c>
      <c r="W75">
        <f t="shared" ref="W75:W94" si="78">ROUND(CX75*I75,2)</f>
        <v>0</v>
      </c>
      <c r="X75">
        <f t="shared" ref="X75:X94" si="79">ROUND(CY75,2)</f>
        <v>56.9</v>
      </c>
      <c r="Y75">
        <f t="shared" ref="Y75:Y94" si="80">ROUND(CZ75,2)</f>
        <v>44.56</v>
      </c>
      <c r="AA75">
        <v>96554872</v>
      </c>
      <c r="AB75">
        <f t="shared" ref="AB75:AB94" si="81">ROUND((AC75+AD75+AF75),2)</f>
        <v>454.41</v>
      </c>
      <c r="AC75">
        <f t="shared" ref="AC75:AC94" si="82">ROUND((ES75),2)</f>
        <v>96.05</v>
      </c>
      <c r="AD75">
        <f>ROUND((((ET75)-(EU75))+AE75),2)</f>
        <v>5.13</v>
      </c>
      <c r="AE75">
        <f t="shared" ref="AE75:AF77" si="83">ROUND((EU75),2)</f>
        <v>1.54</v>
      </c>
      <c r="AF75">
        <f t="shared" si="83"/>
        <v>353.23</v>
      </c>
      <c r="AG75">
        <f t="shared" ref="AG75:AG94" si="84">ROUND((AP75),2)</f>
        <v>0</v>
      </c>
      <c r="AH75">
        <f t="shared" ref="AH75:AI77" si="85">(EW75)</f>
        <v>41.41</v>
      </c>
      <c r="AI75">
        <f t="shared" si="85"/>
        <v>0.12</v>
      </c>
      <c r="AJ75">
        <f t="shared" ref="AJ75:AJ94" si="86">(AS75)</f>
        <v>0</v>
      </c>
      <c r="AK75">
        <v>454.41</v>
      </c>
      <c r="AL75">
        <v>96.05</v>
      </c>
      <c r="AM75">
        <v>5.13</v>
      </c>
      <c r="AN75">
        <v>1.54</v>
      </c>
      <c r="AO75">
        <v>353.23</v>
      </c>
      <c r="AP75">
        <v>0</v>
      </c>
      <c r="AQ75">
        <v>41.41</v>
      </c>
      <c r="AR75">
        <v>0.12</v>
      </c>
      <c r="AS75">
        <v>0</v>
      </c>
      <c r="AT75">
        <v>83</v>
      </c>
      <c r="AU75">
        <v>65</v>
      </c>
      <c r="AV75">
        <v>1</v>
      </c>
      <c r="AW75">
        <v>1</v>
      </c>
      <c r="AZ75">
        <v>7.73</v>
      </c>
      <c r="BA75">
        <v>7.73</v>
      </c>
      <c r="BB75">
        <v>7.73</v>
      </c>
      <c r="BC75">
        <v>7.73</v>
      </c>
      <c r="BD75" t="s">
        <v>3</v>
      </c>
      <c r="BE75" t="s">
        <v>3</v>
      </c>
      <c r="BF75" t="s">
        <v>3</v>
      </c>
      <c r="BG75" t="s">
        <v>3</v>
      </c>
      <c r="BH75">
        <v>0</v>
      </c>
      <c r="BI75">
        <v>1</v>
      </c>
      <c r="BJ75" t="s">
        <v>112</v>
      </c>
      <c r="BM75">
        <v>58001</v>
      </c>
      <c r="BN75">
        <v>0</v>
      </c>
      <c r="BO75" t="s">
        <v>20</v>
      </c>
      <c r="BP75">
        <v>1</v>
      </c>
      <c r="BQ75">
        <v>6</v>
      </c>
      <c r="BR75">
        <v>0</v>
      </c>
      <c r="BS75">
        <v>7.73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83</v>
      </c>
      <c r="CA75">
        <v>65</v>
      </c>
      <c r="CE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ref="CP75:CP94" si="87">(P75+Q75+S75)</f>
        <v>87.81</v>
      </c>
      <c r="CQ75">
        <f t="shared" ref="CQ75:CQ94" si="88">AC75*BC75</f>
        <v>742.4665</v>
      </c>
      <c r="CR75">
        <f t="shared" ref="CR75:CR94" si="89">AD75*BB75</f>
        <v>39.654899999999998</v>
      </c>
      <c r="CS75">
        <f t="shared" ref="CS75:CS94" si="90">AE75*BS75</f>
        <v>11.904200000000001</v>
      </c>
      <c r="CT75">
        <f t="shared" ref="CT75:CT94" si="91">AF75*BA75</f>
        <v>2730.4679000000001</v>
      </c>
      <c r="CU75">
        <f t="shared" ref="CU75:CU94" si="92">AG75</f>
        <v>0</v>
      </c>
      <c r="CV75">
        <f t="shared" ref="CV75:CV94" si="93">AH75</f>
        <v>41.41</v>
      </c>
      <c r="CW75">
        <f t="shared" ref="CW75:CW94" si="94">AI75</f>
        <v>0.12</v>
      </c>
      <c r="CX75">
        <f t="shared" ref="CX75:CX94" si="95">AJ75</f>
        <v>0</v>
      </c>
      <c r="CY75">
        <f t="shared" ref="CY75:CY94" si="96">(((S75+R75)*AT75)/100)</f>
        <v>56.904800000000002</v>
      </c>
      <c r="CZ75">
        <f t="shared" ref="CZ75:CZ94" si="97">(((S75+R75)*AU75)/100)</f>
        <v>44.564000000000007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1003</v>
      </c>
      <c r="DV75" t="s">
        <v>42</v>
      </c>
      <c r="DW75" t="s">
        <v>42</v>
      </c>
      <c r="DX75">
        <v>100</v>
      </c>
      <c r="DZ75" t="s">
        <v>3</v>
      </c>
      <c r="EA75" t="s">
        <v>3</v>
      </c>
      <c r="EB75" t="s">
        <v>3</v>
      </c>
      <c r="EC75" t="s">
        <v>3</v>
      </c>
      <c r="EE75">
        <v>94243558</v>
      </c>
      <c r="EF75">
        <v>6</v>
      </c>
      <c r="EG75" t="s">
        <v>21</v>
      </c>
      <c r="EH75">
        <v>0</v>
      </c>
      <c r="EI75" t="s">
        <v>3</v>
      </c>
      <c r="EJ75">
        <v>1</v>
      </c>
      <c r="EK75">
        <v>58001</v>
      </c>
      <c r="EL75" t="s">
        <v>113</v>
      </c>
      <c r="EM75" t="s">
        <v>114</v>
      </c>
      <c r="EO75" t="s">
        <v>3</v>
      </c>
      <c r="EQ75">
        <v>0</v>
      </c>
      <c r="ER75">
        <v>454.41</v>
      </c>
      <c r="ES75">
        <v>96.05</v>
      </c>
      <c r="ET75">
        <v>5.13</v>
      </c>
      <c r="EU75">
        <v>1.54</v>
      </c>
      <c r="EV75">
        <v>353.23</v>
      </c>
      <c r="EW75">
        <v>41.41</v>
      </c>
      <c r="EX75">
        <v>0.12</v>
      </c>
      <c r="EY75">
        <v>0</v>
      </c>
      <c r="FQ75">
        <v>0</v>
      </c>
      <c r="FR75">
        <f t="shared" ref="FR75:FR94" si="98">ROUND(IF(AND(BH75=3,BI75=3),P75,0),2)</f>
        <v>0</v>
      </c>
      <c r="FS75">
        <v>0</v>
      </c>
      <c r="FX75">
        <v>83</v>
      </c>
      <c r="FY75">
        <v>65</v>
      </c>
      <c r="GA75" t="s">
        <v>3</v>
      </c>
      <c r="GD75">
        <v>1</v>
      </c>
      <c r="GF75">
        <v>530493900</v>
      </c>
      <c r="GG75">
        <v>1</v>
      </c>
      <c r="GH75">
        <v>1</v>
      </c>
      <c r="GI75">
        <v>4</v>
      </c>
      <c r="GJ75">
        <v>0</v>
      </c>
      <c r="GK75">
        <v>0</v>
      </c>
      <c r="GL75">
        <f t="shared" ref="GL75:GL94" si="99">ROUND(IF(AND(BH75=3,BI75=3,FS75&lt;&gt;0),P75,0),2)</f>
        <v>0</v>
      </c>
      <c r="GM75">
        <f t="shared" ref="GM75:GM94" si="100">ROUND(O75+X75+Y75,2)+GX75</f>
        <v>189.27</v>
      </c>
      <c r="GN75">
        <f t="shared" ref="GN75:GN94" si="101">IF(OR(BI75=0,BI75=1),ROUND(O75+X75+Y75,2),0)</f>
        <v>189.27</v>
      </c>
      <c r="GO75">
        <f t="shared" ref="GO75:GO94" si="102">IF(BI75=2,ROUND(O75+X75+Y75,2),0)</f>
        <v>0</v>
      </c>
      <c r="GP75">
        <f t="shared" ref="GP75:GP94" si="103">IF(BI75=4,ROUND(O75+X75+Y75,2)+GX75,0)</f>
        <v>0</v>
      </c>
      <c r="GR75">
        <v>0</v>
      </c>
      <c r="GS75">
        <v>3</v>
      </c>
      <c r="GT75">
        <v>0</v>
      </c>
      <c r="GU75" t="s">
        <v>3</v>
      </c>
      <c r="GV75">
        <f t="shared" ref="GV75:GV94" si="104">ROUND((GT75),2)</f>
        <v>0</v>
      </c>
      <c r="GW75">
        <v>1</v>
      </c>
      <c r="GX75">
        <f t="shared" ref="GX75:GX94" si="105">ROUND(HC75*I75,2)</f>
        <v>0</v>
      </c>
      <c r="HA75">
        <v>0</v>
      </c>
      <c r="HB75">
        <v>0</v>
      </c>
      <c r="HC75">
        <f t="shared" ref="HC75:HC94" si="106">GV75*GW75</f>
        <v>0</v>
      </c>
      <c r="HE75" t="s">
        <v>3</v>
      </c>
      <c r="HF75" t="s">
        <v>3</v>
      </c>
      <c r="IK75">
        <v>0</v>
      </c>
    </row>
    <row r="76" spans="1:245" x14ac:dyDescent="0.2">
      <c r="A76">
        <v>18</v>
      </c>
      <c r="B76">
        <v>1</v>
      </c>
      <c r="C76">
        <v>27</v>
      </c>
      <c r="E76" t="s">
        <v>115</v>
      </c>
      <c r="F76" t="s">
        <v>116</v>
      </c>
      <c r="G76" t="s">
        <v>117</v>
      </c>
      <c r="H76" t="s">
        <v>27</v>
      </c>
      <c r="I76">
        <f>I75*J76</f>
        <v>1.415E-3</v>
      </c>
      <c r="J76">
        <v>5.6599999999999998E-2</v>
      </c>
      <c r="O76">
        <f t="shared" si="70"/>
        <v>122.51</v>
      </c>
      <c r="P76">
        <f t="shared" si="71"/>
        <v>122.51</v>
      </c>
      <c r="Q76">
        <f t="shared" si="72"/>
        <v>0</v>
      </c>
      <c r="R76">
        <f t="shared" si="73"/>
        <v>0</v>
      </c>
      <c r="S76">
        <f t="shared" si="74"/>
        <v>0</v>
      </c>
      <c r="T76">
        <f t="shared" si="75"/>
        <v>0</v>
      </c>
      <c r="U76">
        <f t="shared" si="76"/>
        <v>0</v>
      </c>
      <c r="V76">
        <f t="shared" si="77"/>
        <v>0</v>
      </c>
      <c r="W76">
        <f t="shared" si="78"/>
        <v>0</v>
      </c>
      <c r="X76">
        <f t="shared" si="79"/>
        <v>0</v>
      </c>
      <c r="Y76">
        <f t="shared" si="80"/>
        <v>0</v>
      </c>
      <c r="AA76">
        <v>96554872</v>
      </c>
      <c r="AB76">
        <f t="shared" si="81"/>
        <v>11200</v>
      </c>
      <c r="AC76">
        <f t="shared" si="82"/>
        <v>11200</v>
      </c>
      <c r="AD76">
        <f>ROUND((((ET76)-(EU76))+AE76),2)</f>
        <v>0</v>
      </c>
      <c r="AE76">
        <f t="shared" si="83"/>
        <v>0</v>
      </c>
      <c r="AF76">
        <f t="shared" si="83"/>
        <v>0</v>
      </c>
      <c r="AG76">
        <f t="shared" si="84"/>
        <v>0</v>
      </c>
      <c r="AH76">
        <f t="shared" si="85"/>
        <v>0</v>
      </c>
      <c r="AI76">
        <f t="shared" si="85"/>
        <v>0</v>
      </c>
      <c r="AJ76">
        <f t="shared" si="86"/>
        <v>0</v>
      </c>
      <c r="AK76">
        <v>11200</v>
      </c>
      <c r="AL76">
        <v>11200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83</v>
      </c>
      <c r="AU76">
        <v>65</v>
      </c>
      <c r="AV76">
        <v>1</v>
      </c>
      <c r="AW76">
        <v>1</v>
      </c>
      <c r="AZ76">
        <v>7.73</v>
      </c>
      <c r="BA76">
        <v>1</v>
      </c>
      <c r="BB76">
        <v>1</v>
      </c>
      <c r="BC76">
        <v>7.73</v>
      </c>
      <c r="BD76" t="s">
        <v>3</v>
      </c>
      <c r="BE76" t="s">
        <v>3</v>
      </c>
      <c r="BF76" t="s">
        <v>3</v>
      </c>
      <c r="BG76" t="s">
        <v>3</v>
      </c>
      <c r="BH76">
        <v>3</v>
      </c>
      <c r="BI76">
        <v>1</v>
      </c>
      <c r="BJ76" t="s">
        <v>118</v>
      </c>
      <c r="BM76">
        <v>58001</v>
      </c>
      <c r="BN76">
        <v>0</v>
      </c>
      <c r="BO76" t="s">
        <v>20</v>
      </c>
      <c r="BP76">
        <v>1</v>
      </c>
      <c r="BQ76">
        <v>6</v>
      </c>
      <c r="BR76">
        <v>0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83</v>
      </c>
      <c r="CA76">
        <v>65</v>
      </c>
      <c r="CE76">
        <v>0</v>
      </c>
      <c r="CF76">
        <v>0</v>
      </c>
      <c r="CG76">
        <v>0</v>
      </c>
      <c r="CM76">
        <v>0</v>
      </c>
      <c r="CN76" t="s">
        <v>3</v>
      </c>
      <c r="CO76">
        <v>0</v>
      </c>
      <c r="CP76">
        <f t="shared" si="87"/>
        <v>122.51</v>
      </c>
      <c r="CQ76">
        <f t="shared" si="88"/>
        <v>86576</v>
      </c>
      <c r="CR76">
        <f t="shared" si="89"/>
        <v>0</v>
      </c>
      <c r="CS76">
        <f t="shared" si="90"/>
        <v>0</v>
      </c>
      <c r="CT76">
        <f t="shared" si="91"/>
        <v>0</v>
      </c>
      <c r="CU76">
        <f t="shared" si="92"/>
        <v>0</v>
      </c>
      <c r="CV76">
        <f t="shared" si="93"/>
        <v>0</v>
      </c>
      <c r="CW76">
        <f t="shared" si="94"/>
        <v>0</v>
      </c>
      <c r="CX76">
        <f t="shared" si="95"/>
        <v>0</v>
      </c>
      <c r="CY76">
        <f t="shared" si="96"/>
        <v>0</v>
      </c>
      <c r="CZ76">
        <f t="shared" si="97"/>
        <v>0</v>
      </c>
      <c r="DC76" t="s">
        <v>3</v>
      </c>
      <c r="DD76" t="s">
        <v>3</v>
      </c>
      <c r="DE76" t="s">
        <v>3</v>
      </c>
      <c r="DF76" t="s">
        <v>3</v>
      </c>
      <c r="DG76" t="s">
        <v>3</v>
      </c>
      <c r="DH76" t="s">
        <v>3</v>
      </c>
      <c r="DI76" t="s">
        <v>3</v>
      </c>
      <c r="DJ76" t="s">
        <v>3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1009</v>
      </c>
      <c r="DV76" t="s">
        <v>27</v>
      </c>
      <c r="DW76" t="s">
        <v>27</v>
      </c>
      <c r="DX76">
        <v>1000</v>
      </c>
      <c r="DZ76" t="s">
        <v>3</v>
      </c>
      <c r="EA76" t="s">
        <v>3</v>
      </c>
      <c r="EB76" t="s">
        <v>3</v>
      </c>
      <c r="EC76" t="s">
        <v>3</v>
      </c>
      <c r="EE76">
        <v>94243558</v>
      </c>
      <c r="EF76">
        <v>6</v>
      </c>
      <c r="EG76" t="s">
        <v>21</v>
      </c>
      <c r="EH76">
        <v>0</v>
      </c>
      <c r="EI76" t="s">
        <v>3</v>
      </c>
      <c r="EJ76">
        <v>1</v>
      </c>
      <c r="EK76">
        <v>58001</v>
      </c>
      <c r="EL76" t="s">
        <v>113</v>
      </c>
      <c r="EM76" t="s">
        <v>114</v>
      </c>
      <c r="EO76" t="s">
        <v>3</v>
      </c>
      <c r="EQ76">
        <v>0</v>
      </c>
      <c r="ER76">
        <v>11200</v>
      </c>
      <c r="ES76">
        <v>11200</v>
      </c>
      <c r="ET76">
        <v>0</v>
      </c>
      <c r="EU76">
        <v>0</v>
      </c>
      <c r="EV76">
        <v>0</v>
      </c>
      <c r="EW76">
        <v>0</v>
      </c>
      <c r="EX76">
        <v>0</v>
      </c>
      <c r="FQ76">
        <v>0</v>
      </c>
      <c r="FR76">
        <f t="shared" si="98"/>
        <v>0</v>
      </c>
      <c r="FS76">
        <v>0</v>
      </c>
      <c r="FX76">
        <v>83</v>
      </c>
      <c r="FY76">
        <v>65</v>
      </c>
      <c r="GA76" t="s">
        <v>3</v>
      </c>
      <c r="GD76">
        <v>1</v>
      </c>
      <c r="GF76">
        <v>1036086779</v>
      </c>
      <c r="GG76">
        <v>1</v>
      </c>
      <c r="GH76">
        <v>1</v>
      </c>
      <c r="GI76">
        <v>4</v>
      </c>
      <c r="GJ76">
        <v>0</v>
      </c>
      <c r="GK76">
        <v>0</v>
      </c>
      <c r="GL76">
        <f t="shared" si="99"/>
        <v>0</v>
      </c>
      <c r="GM76">
        <f t="shared" si="100"/>
        <v>122.51</v>
      </c>
      <c r="GN76">
        <f t="shared" si="101"/>
        <v>122.51</v>
      </c>
      <c r="GO76">
        <f t="shared" si="102"/>
        <v>0</v>
      </c>
      <c r="GP76">
        <f t="shared" si="103"/>
        <v>0</v>
      </c>
      <c r="GR76">
        <v>0</v>
      </c>
      <c r="GS76">
        <v>3</v>
      </c>
      <c r="GT76">
        <v>0</v>
      </c>
      <c r="GU76" t="s">
        <v>3</v>
      </c>
      <c r="GV76">
        <f t="shared" si="104"/>
        <v>0</v>
      </c>
      <c r="GW76">
        <v>1</v>
      </c>
      <c r="GX76">
        <f t="shared" si="105"/>
        <v>0</v>
      </c>
      <c r="HA76">
        <v>0</v>
      </c>
      <c r="HB76">
        <v>0</v>
      </c>
      <c r="HC76">
        <f t="shared" si="106"/>
        <v>0</v>
      </c>
      <c r="HE76" t="s">
        <v>3</v>
      </c>
      <c r="HF76" t="s">
        <v>3</v>
      </c>
      <c r="IK76">
        <v>0</v>
      </c>
    </row>
    <row r="77" spans="1:245" x14ac:dyDescent="0.2">
      <c r="A77">
        <v>18</v>
      </c>
      <c r="B77">
        <v>1</v>
      </c>
      <c r="C77">
        <v>28</v>
      </c>
      <c r="E77" t="s">
        <v>119</v>
      </c>
      <c r="F77" t="s">
        <v>25</v>
      </c>
      <c r="G77" t="s">
        <v>26</v>
      </c>
      <c r="H77" t="s">
        <v>27</v>
      </c>
      <c r="I77">
        <f>I75*J77</f>
        <v>5.5999999999999999E-3</v>
      </c>
      <c r="J77">
        <v>0.22399999999999998</v>
      </c>
      <c r="O77">
        <f t="shared" si="70"/>
        <v>0</v>
      </c>
      <c r="P77">
        <f t="shared" si="71"/>
        <v>0</v>
      </c>
      <c r="Q77">
        <f t="shared" si="72"/>
        <v>0</v>
      </c>
      <c r="R77">
        <f t="shared" si="73"/>
        <v>0</v>
      </c>
      <c r="S77">
        <f t="shared" si="74"/>
        <v>0</v>
      </c>
      <c r="T77">
        <f t="shared" si="75"/>
        <v>0</v>
      </c>
      <c r="U77">
        <f t="shared" si="76"/>
        <v>0</v>
      </c>
      <c r="V77">
        <f t="shared" si="77"/>
        <v>0</v>
      </c>
      <c r="W77">
        <f t="shared" si="78"/>
        <v>0</v>
      </c>
      <c r="X77">
        <f t="shared" si="79"/>
        <v>0</v>
      </c>
      <c r="Y77">
        <f t="shared" si="80"/>
        <v>0</v>
      </c>
      <c r="AA77">
        <v>96554872</v>
      </c>
      <c r="AB77">
        <f t="shared" si="81"/>
        <v>0</v>
      </c>
      <c r="AC77">
        <f t="shared" si="82"/>
        <v>0</v>
      </c>
      <c r="AD77">
        <f>ROUND((((ET77)-(EU77))+AE77),2)</f>
        <v>0</v>
      </c>
      <c r="AE77">
        <f t="shared" si="83"/>
        <v>0</v>
      </c>
      <c r="AF77">
        <f t="shared" si="83"/>
        <v>0</v>
      </c>
      <c r="AG77">
        <f t="shared" si="84"/>
        <v>0</v>
      </c>
      <c r="AH77">
        <f t="shared" si="85"/>
        <v>0</v>
      </c>
      <c r="AI77">
        <f t="shared" si="85"/>
        <v>0</v>
      </c>
      <c r="AJ77">
        <f t="shared" si="86"/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83</v>
      </c>
      <c r="AU77">
        <v>65</v>
      </c>
      <c r="AV77">
        <v>1</v>
      </c>
      <c r="AW77">
        <v>1</v>
      </c>
      <c r="AZ77">
        <v>7.73</v>
      </c>
      <c r="BA77">
        <v>1</v>
      </c>
      <c r="BB77">
        <v>1</v>
      </c>
      <c r="BC77">
        <v>7.73</v>
      </c>
      <c r="BD77" t="s">
        <v>3</v>
      </c>
      <c r="BE77" t="s">
        <v>3</v>
      </c>
      <c r="BF77" t="s">
        <v>3</v>
      </c>
      <c r="BG77" t="s">
        <v>3</v>
      </c>
      <c r="BH77">
        <v>3</v>
      </c>
      <c r="BI77">
        <v>1</v>
      </c>
      <c r="BJ77" t="s">
        <v>3</v>
      </c>
      <c r="BM77">
        <v>58001</v>
      </c>
      <c r="BN77">
        <v>0</v>
      </c>
      <c r="BO77" t="s">
        <v>20</v>
      </c>
      <c r="BP77">
        <v>1</v>
      </c>
      <c r="BQ77">
        <v>6</v>
      </c>
      <c r="BR77">
        <v>0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83</v>
      </c>
      <c r="CA77">
        <v>65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87"/>
        <v>0</v>
      </c>
      <c r="CQ77">
        <f t="shared" si="88"/>
        <v>0</v>
      </c>
      <c r="CR77">
        <f t="shared" si="89"/>
        <v>0</v>
      </c>
      <c r="CS77">
        <f t="shared" si="90"/>
        <v>0</v>
      </c>
      <c r="CT77">
        <f t="shared" si="91"/>
        <v>0</v>
      </c>
      <c r="CU77">
        <f t="shared" si="92"/>
        <v>0</v>
      </c>
      <c r="CV77">
        <f t="shared" si="93"/>
        <v>0</v>
      </c>
      <c r="CW77">
        <f t="shared" si="94"/>
        <v>0</v>
      </c>
      <c r="CX77">
        <f t="shared" si="95"/>
        <v>0</v>
      </c>
      <c r="CY77">
        <f t="shared" si="96"/>
        <v>0</v>
      </c>
      <c r="CZ77">
        <f t="shared" si="97"/>
        <v>0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1009</v>
      </c>
      <c r="DV77" t="s">
        <v>27</v>
      </c>
      <c r="DW77" t="s">
        <v>27</v>
      </c>
      <c r="DX77">
        <v>1000</v>
      </c>
      <c r="DZ77" t="s">
        <v>3</v>
      </c>
      <c r="EA77" t="s">
        <v>3</v>
      </c>
      <c r="EB77" t="s">
        <v>3</v>
      </c>
      <c r="EC77" t="s">
        <v>3</v>
      </c>
      <c r="EE77">
        <v>94243558</v>
      </c>
      <c r="EF77">
        <v>6</v>
      </c>
      <c r="EG77" t="s">
        <v>21</v>
      </c>
      <c r="EH77">
        <v>0</v>
      </c>
      <c r="EI77" t="s">
        <v>3</v>
      </c>
      <c r="EJ77">
        <v>1</v>
      </c>
      <c r="EK77">
        <v>58001</v>
      </c>
      <c r="EL77" t="s">
        <v>113</v>
      </c>
      <c r="EM77" t="s">
        <v>114</v>
      </c>
      <c r="EO77" t="s">
        <v>3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FQ77">
        <v>0</v>
      </c>
      <c r="FR77">
        <f t="shared" si="98"/>
        <v>0</v>
      </c>
      <c r="FS77">
        <v>0</v>
      </c>
      <c r="FX77">
        <v>83</v>
      </c>
      <c r="FY77">
        <v>65</v>
      </c>
      <c r="GA77" t="s">
        <v>3</v>
      </c>
      <c r="GD77">
        <v>1</v>
      </c>
      <c r="GF77">
        <v>2102561428</v>
      </c>
      <c r="GG77">
        <v>1</v>
      </c>
      <c r="GH77">
        <v>1</v>
      </c>
      <c r="GI77">
        <v>4</v>
      </c>
      <c r="GJ77">
        <v>0</v>
      </c>
      <c r="GK77">
        <v>0</v>
      </c>
      <c r="GL77">
        <f t="shared" si="99"/>
        <v>0</v>
      </c>
      <c r="GM77">
        <f t="shared" si="100"/>
        <v>0</v>
      </c>
      <c r="GN77">
        <f t="shared" si="101"/>
        <v>0</v>
      </c>
      <c r="GO77">
        <f t="shared" si="102"/>
        <v>0</v>
      </c>
      <c r="GP77">
        <f t="shared" si="103"/>
        <v>0</v>
      </c>
      <c r="GR77">
        <v>0</v>
      </c>
      <c r="GS77">
        <v>3</v>
      </c>
      <c r="GT77">
        <v>0</v>
      </c>
      <c r="GU77" t="s">
        <v>3</v>
      </c>
      <c r="GV77">
        <f t="shared" si="104"/>
        <v>0</v>
      </c>
      <c r="GW77">
        <v>1</v>
      </c>
      <c r="GX77">
        <f t="shared" si="105"/>
        <v>0</v>
      </c>
      <c r="HA77">
        <v>0</v>
      </c>
      <c r="HB77">
        <v>0</v>
      </c>
      <c r="HC77">
        <f t="shared" si="106"/>
        <v>0</v>
      </c>
      <c r="HE77" t="s">
        <v>3</v>
      </c>
      <c r="HF77" t="s">
        <v>3</v>
      </c>
      <c r="IK77">
        <v>0</v>
      </c>
    </row>
    <row r="78" spans="1:245" x14ac:dyDescent="0.2">
      <c r="A78">
        <v>17</v>
      </c>
      <c r="B78">
        <v>1</v>
      </c>
      <c r="C78">
        <f>ROW(SmtRes!A38)</f>
        <v>38</v>
      </c>
      <c r="D78">
        <f>ROW(EtalonRes!A39)</f>
        <v>39</v>
      </c>
      <c r="E78" t="s">
        <v>120</v>
      </c>
      <c r="F78" t="s">
        <v>121</v>
      </c>
      <c r="G78" t="s">
        <v>122</v>
      </c>
      <c r="H78" t="s">
        <v>18</v>
      </c>
      <c r="I78">
        <f>ROUND(65.2/100,4)</f>
        <v>0.65200000000000002</v>
      </c>
      <c r="J78">
        <v>0</v>
      </c>
      <c r="O78">
        <f t="shared" si="70"/>
        <v>40238.230000000003</v>
      </c>
      <c r="P78">
        <f t="shared" si="71"/>
        <v>31395.62</v>
      </c>
      <c r="Q78">
        <f t="shared" si="72"/>
        <v>1487.8</v>
      </c>
      <c r="R78">
        <f t="shared" si="73"/>
        <v>295.85000000000002</v>
      </c>
      <c r="S78">
        <f t="shared" si="74"/>
        <v>7354.81</v>
      </c>
      <c r="T78">
        <f t="shared" si="75"/>
        <v>0</v>
      </c>
      <c r="U78">
        <f t="shared" si="76"/>
        <v>108.86346199999998</v>
      </c>
      <c r="V78">
        <f t="shared" si="77"/>
        <v>3.2111000000000001</v>
      </c>
      <c r="W78">
        <f t="shared" si="78"/>
        <v>0</v>
      </c>
      <c r="X78">
        <f t="shared" si="79"/>
        <v>8109.7</v>
      </c>
      <c r="Y78">
        <f t="shared" si="80"/>
        <v>4131.3599999999997</v>
      </c>
      <c r="AA78">
        <v>96554872</v>
      </c>
      <c r="AB78">
        <f t="shared" si="81"/>
        <v>7983.84</v>
      </c>
      <c r="AC78">
        <f t="shared" si="82"/>
        <v>6229.34</v>
      </c>
      <c r="AD78">
        <f>ROUND(((((ET78*1.25))-((EU78*1.25)))+AE78),2)</f>
        <v>295.2</v>
      </c>
      <c r="AE78">
        <f>ROUND(((EU78*1.25)),2)</f>
        <v>58.7</v>
      </c>
      <c r="AF78">
        <f>ROUND(((EV78*1.15)),2)</f>
        <v>1459.3</v>
      </c>
      <c r="AG78">
        <f t="shared" si="84"/>
        <v>0</v>
      </c>
      <c r="AH78">
        <f>((EW78*1.15))</f>
        <v>166.96849999999998</v>
      </c>
      <c r="AI78">
        <f>((EX78*1.25))</f>
        <v>4.9249999999999998</v>
      </c>
      <c r="AJ78">
        <f t="shared" si="86"/>
        <v>0</v>
      </c>
      <c r="AK78">
        <v>7734.46</v>
      </c>
      <c r="AL78">
        <v>6229.34</v>
      </c>
      <c r="AM78">
        <v>236.16</v>
      </c>
      <c r="AN78">
        <v>46.96</v>
      </c>
      <c r="AO78">
        <v>1268.96</v>
      </c>
      <c r="AP78">
        <v>0</v>
      </c>
      <c r="AQ78">
        <v>145.19</v>
      </c>
      <c r="AR78">
        <v>3.94</v>
      </c>
      <c r="AS78">
        <v>0</v>
      </c>
      <c r="AT78">
        <v>106</v>
      </c>
      <c r="AU78">
        <v>54</v>
      </c>
      <c r="AV78">
        <v>1</v>
      </c>
      <c r="AW78">
        <v>1</v>
      </c>
      <c r="AZ78">
        <v>7.73</v>
      </c>
      <c r="BA78">
        <v>7.73</v>
      </c>
      <c r="BB78">
        <v>7.73</v>
      </c>
      <c r="BC78">
        <v>7.73</v>
      </c>
      <c r="BD78" t="s">
        <v>3</v>
      </c>
      <c r="BE78" t="s">
        <v>3</v>
      </c>
      <c r="BF78" t="s">
        <v>3</v>
      </c>
      <c r="BG78" t="s">
        <v>3</v>
      </c>
      <c r="BH78">
        <v>0</v>
      </c>
      <c r="BI78">
        <v>1</v>
      </c>
      <c r="BJ78" t="s">
        <v>123</v>
      </c>
      <c r="BM78">
        <v>10001</v>
      </c>
      <c r="BN78">
        <v>0</v>
      </c>
      <c r="BO78" t="s">
        <v>20</v>
      </c>
      <c r="BP78">
        <v>1</v>
      </c>
      <c r="BQ78">
        <v>2</v>
      </c>
      <c r="BR78">
        <v>0</v>
      </c>
      <c r="BS78">
        <v>7.73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118</v>
      </c>
      <c r="CA78">
        <v>63</v>
      </c>
      <c r="CE78">
        <v>0</v>
      </c>
      <c r="CF78">
        <v>0</v>
      </c>
      <c r="CG78">
        <v>0</v>
      </c>
      <c r="CM78">
        <v>0</v>
      </c>
      <c r="CN78" t="s">
        <v>387</v>
      </c>
      <c r="CO78">
        <v>0</v>
      </c>
      <c r="CP78">
        <f t="shared" si="87"/>
        <v>40238.229999999996</v>
      </c>
      <c r="CQ78">
        <f t="shared" si="88"/>
        <v>48152.798200000005</v>
      </c>
      <c r="CR78">
        <f t="shared" si="89"/>
        <v>2281.8960000000002</v>
      </c>
      <c r="CS78">
        <f t="shared" si="90"/>
        <v>453.75100000000003</v>
      </c>
      <c r="CT78">
        <f t="shared" si="91"/>
        <v>11280.389000000001</v>
      </c>
      <c r="CU78">
        <f t="shared" si="92"/>
        <v>0</v>
      </c>
      <c r="CV78">
        <f t="shared" si="93"/>
        <v>166.96849999999998</v>
      </c>
      <c r="CW78">
        <f t="shared" si="94"/>
        <v>4.9249999999999998</v>
      </c>
      <c r="CX78">
        <f t="shared" si="95"/>
        <v>0</v>
      </c>
      <c r="CY78">
        <f t="shared" si="96"/>
        <v>8109.6996000000008</v>
      </c>
      <c r="CZ78">
        <f t="shared" si="97"/>
        <v>4131.3564000000006</v>
      </c>
      <c r="DC78" t="s">
        <v>3</v>
      </c>
      <c r="DD78" t="s">
        <v>3</v>
      </c>
      <c r="DE78" t="s">
        <v>124</v>
      </c>
      <c r="DF78" t="s">
        <v>124</v>
      </c>
      <c r="DG78" t="s">
        <v>125</v>
      </c>
      <c r="DH78" t="s">
        <v>3</v>
      </c>
      <c r="DI78" t="s">
        <v>125</v>
      </c>
      <c r="DJ78" t="s">
        <v>124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1005</v>
      </c>
      <c r="DV78" t="s">
        <v>18</v>
      </c>
      <c r="DW78" t="s">
        <v>18</v>
      </c>
      <c r="DX78">
        <v>100</v>
      </c>
      <c r="DZ78" t="s">
        <v>3</v>
      </c>
      <c r="EA78" t="s">
        <v>3</v>
      </c>
      <c r="EB78" t="s">
        <v>3</v>
      </c>
      <c r="EC78" t="s">
        <v>3</v>
      </c>
      <c r="EE78">
        <v>94243478</v>
      </c>
      <c r="EF78">
        <v>2</v>
      </c>
      <c r="EG78" t="s">
        <v>126</v>
      </c>
      <c r="EH78">
        <v>0</v>
      </c>
      <c r="EI78" t="s">
        <v>3</v>
      </c>
      <c r="EJ78">
        <v>1</v>
      </c>
      <c r="EK78">
        <v>10001</v>
      </c>
      <c r="EL78" t="s">
        <v>127</v>
      </c>
      <c r="EM78" t="s">
        <v>128</v>
      </c>
      <c r="EO78" t="s">
        <v>129</v>
      </c>
      <c r="EQ78">
        <v>0</v>
      </c>
      <c r="ER78">
        <v>7734.46</v>
      </c>
      <c r="ES78">
        <v>6229.34</v>
      </c>
      <c r="ET78">
        <v>236.16</v>
      </c>
      <c r="EU78">
        <v>46.96</v>
      </c>
      <c r="EV78">
        <v>1268.96</v>
      </c>
      <c r="EW78">
        <v>145.19</v>
      </c>
      <c r="EX78">
        <v>3.94</v>
      </c>
      <c r="EY78">
        <v>0</v>
      </c>
      <c r="FQ78">
        <v>0</v>
      </c>
      <c r="FR78">
        <f t="shared" si="98"/>
        <v>0</v>
      </c>
      <c r="FS78">
        <v>0</v>
      </c>
      <c r="FT78" t="s">
        <v>130</v>
      </c>
      <c r="FU78" t="s">
        <v>131</v>
      </c>
      <c r="FX78">
        <v>106.2</v>
      </c>
      <c r="FY78">
        <v>53.55</v>
      </c>
      <c r="GA78" t="s">
        <v>3</v>
      </c>
      <c r="GD78">
        <v>1</v>
      </c>
      <c r="GF78">
        <v>-752727711</v>
      </c>
      <c r="GG78">
        <v>1</v>
      </c>
      <c r="GH78">
        <v>1</v>
      </c>
      <c r="GI78">
        <v>4</v>
      </c>
      <c r="GJ78">
        <v>0</v>
      </c>
      <c r="GK78">
        <v>0</v>
      </c>
      <c r="GL78">
        <f t="shared" si="99"/>
        <v>0</v>
      </c>
      <c r="GM78">
        <f t="shared" si="100"/>
        <v>52479.29</v>
      </c>
      <c r="GN78">
        <f t="shared" si="101"/>
        <v>52479.29</v>
      </c>
      <c r="GO78">
        <f t="shared" si="102"/>
        <v>0</v>
      </c>
      <c r="GP78">
        <f t="shared" si="103"/>
        <v>0</v>
      </c>
      <c r="GR78">
        <v>0</v>
      </c>
      <c r="GS78">
        <v>3</v>
      </c>
      <c r="GT78">
        <v>0</v>
      </c>
      <c r="GU78" t="s">
        <v>3</v>
      </c>
      <c r="GV78">
        <f t="shared" si="104"/>
        <v>0</v>
      </c>
      <c r="GW78">
        <v>1</v>
      </c>
      <c r="GX78">
        <f t="shared" si="105"/>
        <v>0</v>
      </c>
      <c r="HA78">
        <v>0</v>
      </c>
      <c r="HB78">
        <v>0</v>
      </c>
      <c r="HC78">
        <f t="shared" si="106"/>
        <v>0</v>
      </c>
      <c r="HE78" t="s">
        <v>3</v>
      </c>
      <c r="HF78" t="s">
        <v>3</v>
      </c>
      <c r="IK78">
        <v>0</v>
      </c>
    </row>
    <row r="79" spans="1:245" x14ac:dyDescent="0.2">
      <c r="A79">
        <v>17</v>
      </c>
      <c r="B79">
        <v>1</v>
      </c>
      <c r="E79" t="s">
        <v>3</v>
      </c>
      <c r="F79" t="s">
        <v>132</v>
      </c>
      <c r="G79" t="s">
        <v>133</v>
      </c>
      <c r="H79" t="s">
        <v>134</v>
      </c>
      <c r="I79">
        <f>ROUND(65.2,4)</f>
        <v>65.2</v>
      </c>
      <c r="J79">
        <v>0</v>
      </c>
      <c r="O79">
        <f t="shared" si="70"/>
        <v>1379477.37</v>
      </c>
      <c r="P79">
        <f t="shared" si="71"/>
        <v>1379477.37</v>
      </c>
      <c r="Q79">
        <f t="shared" si="72"/>
        <v>0</v>
      </c>
      <c r="R79">
        <f t="shared" si="73"/>
        <v>0</v>
      </c>
      <c r="S79">
        <f t="shared" si="74"/>
        <v>0</v>
      </c>
      <c r="T79">
        <f t="shared" si="75"/>
        <v>0</v>
      </c>
      <c r="U79">
        <f t="shared" si="76"/>
        <v>0</v>
      </c>
      <c r="V79">
        <f t="shared" si="77"/>
        <v>0</v>
      </c>
      <c r="W79">
        <f t="shared" si="78"/>
        <v>0</v>
      </c>
      <c r="X79">
        <f t="shared" si="79"/>
        <v>0</v>
      </c>
      <c r="Y79">
        <f t="shared" si="80"/>
        <v>0</v>
      </c>
      <c r="AA79">
        <v>-1</v>
      </c>
      <c r="AB79">
        <f t="shared" si="81"/>
        <v>2737.08</v>
      </c>
      <c r="AC79">
        <f t="shared" si="82"/>
        <v>2737.08</v>
      </c>
      <c r="AD79">
        <f>ROUND((((ET79)-(EU79))+AE79),2)</f>
        <v>0</v>
      </c>
      <c r="AE79">
        <f>ROUND((EU79),2)</f>
        <v>0</v>
      </c>
      <c r="AF79">
        <f>ROUND((EV79),2)</f>
        <v>0</v>
      </c>
      <c r="AG79">
        <f t="shared" si="84"/>
        <v>0</v>
      </c>
      <c r="AH79">
        <f>(EW79)</f>
        <v>0</v>
      </c>
      <c r="AI79">
        <f>(EX79)</f>
        <v>0</v>
      </c>
      <c r="AJ79">
        <f t="shared" si="86"/>
        <v>0</v>
      </c>
      <c r="AK79">
        <v>2737.08</v>
      </c>
      <c r="AL79">
        <v>2737.08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</v>
      </c>
      <c r="AW79">
        <v>1</v>
      </c>
      <c r="AZ79">
        <v>7.73</v>
      </c>
      <c r="BA79">
        <v>1</v>
      </c>
      <c r="BB79">
        <v>1</v>
      </c>
      <c r="BC79">
        <v>7.73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1</v>
      </c>
      <c r="BJ79" t="s">
        <v>135</v>
      </c>
      <c r="BM79">
        <v>500001</v>
      </c>
      <c r="BN79">
        <v>0</v>
      </c>
      <c r="BO79" t="s">
        <v>20</v>
      </c>
      <c r="BP79">
        <v>1</v>
      </c>
      <c r="BQ79">
        <v>8</v>
      </c>
      <c r="BR79">
        <v>0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0</v>
      </c>
      <c r="CA79">
        <v>0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87"/>
        <v>1379477.37</v>
      </c>
      <c r="CQ79">
        <f t="shared" si="88"/>
        <v>21157.628400000001</v>
      </c>
      <c r="CR79">
        <f t="shared" si="89"/>
        <v>0</v>
      </c>
      <c r="CS79">
        <f t="shared" si="90"/>
        <v>0</v>
      </c>
      <c r="CT79">
        <f t="shared" si="91"/>
        <v>0</v>
      </c>
      <c r="CU79">
        <f t="shared" si="92"/>
        <v>0</v>
      </c>
      <c r="CV79">
        <f t="shared" si="93"/>
        <v>0</v>
      </c>
      <c r="CW79">
        <f t="shared" si="94"/>
        <v>0</v>
      </c>
      <c r="CX79">
        <f t="shared" si="95"/>
        <v>0</v>
      </c>
      <c r="CY79">
        <f t="shared" si="96"/>
        <v>0</v>
      </c>
      <c r="CZ79">
        <f t="shared" si="97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1005</v>
      </c>
      <c r="DV79" t="s">
        <v>134</v>
      </c>
      <c r="DW79" t="s">
        <v>134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94243411</v>
      </c>
      <c r="EF79">
        <v>8</v>
      </c>
      <c r="EG79" t="s">
        <v>136</v>
      </c>
      <c r="EH79">
        <v>0</v>
      </c>
      <c r="EI79" t="s">
        <v>3</v>
      </c>
      <c r="EJ79">
        <v>1</v>
      </c>
      <c r="EK79">
        <v>500001</v>
      </c>
      <c r="EL79" t="s">
        <v>137</v>
      </c>
      <c r="EM79" t="s">
        <v>138</v>
      </c>
      <c r="EO79" t="s">
        <v>3</v>
      </c>
      <c r="EQ79">
        <v>1024</v>
      </c>
      <c r="ER79">
        <v>2737.08</v>
      </c>
      <c r="ES79">
        <v>2737.08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FQ79">
        <v>0</v>
      </c>
      <c r="FR79">
        <f t="shared" si="98"/>
        <v>0</v>
      </c>
      <c r="FS79">
        <v>0</v>
      </c>
      <c r="FX79">
        <v>0</v>
      </c>
      <c r="FY79">
        <v>0</v>
      </c>
      <c r="GA79" t="s">
        <v>3</v>
      </c>
      <c r="GD79">
        <v>1</v>
      </c>
      <c r="GF79">
        <v>678208160</v>
      </c>
      <c r="GG79">
        <v>1</v>
      </c>
      <c r="GH79">
        <v>1</v>
      </c>
      <c r="GI79">
        <v>4</v>
      </c>
      <c r="GJ79">
        <v>0</v>
      </c>
      <c r="GK79">
        <v>0</v>
      </c>
      <c r="GL79">
        <f t="shared" si="99"/>
        <v>0</v>
      </c>
      <c r="GM79">
        <f t="shared" si="100"/>
        <v>1379477.37</v>
      </c>
      <c r="GN79">
        <f t="shared" si="101"/>
        <v>1379477.37</v>
      </c>
      <c r="GO79">
        <f t="shared" si="102"/>
        <v>0</v>
      </c>
      <c r="GP79">
        <f t="shared" si="103"/>
        <v>0</v>
      </c>
      <c r="GR79">
        <v>0</v>
      </c>
      <c r="GS79">
        <v>3</v>
      </c>
      <c r="GT79">
        <v>0</v>
      </c>
      <c r="GU79" t="s">
        <v>3</v>
      </c>
      <c r="GV79">
        <f t="shared" si="104"/>
        <v>0</v>
      </c>
      <c r="GW79">
        <v>1</v>
      </c>
      <c r="GX79">
        <f t="shared" si="105"/>
        <v>0</v>
      </c>
      <c r="HA79">
        <v>0</v>
      </c>
      <c r="HB79">
        <v>0</v>
      </c>
      <c r="HC79">
        <f t="shared" si="106"/>
        <v>0</v>
      </c>
      <c r="HE79" t="s">
        <v>3</v>
      </c>
      <c r="HF79" t="s">
        <v>3</v>
      </c>
      <c r="IK79">
        <v>0</v>
      </c>
    </row>
    <row r="80" spans="1:245" x14ac:dyDescent="0.2">
      <c r="A80">
        <v>17</v>
      </c>
      <c r="B80">
        <v>1</v>
      </c>
      <c r="E80" t="s">
        <v>139</v>
      </c>
      <c r="F80" t="s">
        <v>140</v>
      </c>
      <c r="G80" t="s">
        <v>133</v>
      </c>
      <c r="H80" t="s">
        <v>134</v>
      </c>
      <c r="I80">
        <f>ROUND(65.2,4)</f>
        <v>65.2</v>
      </c>
      <c r="J80">
        <v>0</v>
      </c>
      <c r="O80">
        <f t="shared" si="70"/>
        <v>515088.95</v>
      </c>
      <c r="P80">
        <f t="shared" si="71"/>
        <v>515088.95</v>
      </c>
      <c r="Q80">
        <f t="shared" si="72"/>
        <v>0</v>
      </c>
      <c r="R80">
        <f t="shared" si="73"/>
        <v>0</v>
      </c>
      <c r="S80">
        <f t="shared" si="74"/>
        <v>0</v>
      </c>
      <c r="T80">
        <f t="shared" si="75"/>
        <v>0</v>
      </c>
      <c r="U80">
        <f t="shared" si="76"/>
        <v>0</v>
      </c>
      <c r="V80">
        <f t="shared" si="77"/>
        <v>0</v>
      </c>
      <c r="W80">
        <f t="shared" si="78"/>
        <v>0</v>
      </c>
      <c r="X80">
        <f t="shared" si="79"/>
        <v>0</v>
      </c>
      <c r="Y80">
        <f t="shared" si="80"/>
        <v>0</v>
      </c>
      <c r="AA80">
        <v>96554872</v>
      </c>
      <c r="AB80">
        <f t="shared" si="81"/>
        <v>1022.01</v>
      </c>
      <c r="AC80">
        <f t="shared" si="82"/>
        <v>1022.01</v>
      </c>
      <c r="AD80">
        <f>ROUND((((ET80)-(EU80))+AE80),2)</f>
        <v>0</v>
      </c>
      <c r="AE80">
        <f>ROUND((EU80),2)</f>
        <v>0</v>
      </c>
      <c r="AF80">
        <f>ROUND((EV80),2)</f>
        <v>0</v>
      </c>
      <c r="AG80">
        <f t="shared" si="84"/>
        <v>0</v>
      </c>
      <c r="AH80">
        <f>(EW80)</f>
        <v>0</v>
      </c>
      <c r="AI80">
        <f>(EX80)</f>
        <v>0</v>
      </c>
      <c r="AJ80">
        <f t="shared" si="86"/>
        <v>0</v>
      </c>
      <c r="AK80">
        <v>1022.01</v>
      </c>
      <c r="AL80">
        <v>1022.01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1</v>
      </c>
      <c r="AW80">
        <v>1</v>
      </c>
      <c r="AZ80">
        <v>7.73</v>
      </c>
      <c r="BA80">
        <v>1</v>
      </c>
      <c r="BB80">
        <v>1</v>
      </c>
      <c r="BC80">
        <v>7.73</v>
      </c>
      <c r="BD80" t="s">
        <v>3</v>
      </c>
      <c r="BE80" t="s">
        <v>3</v>
      </c>
      <c r="BF80" t="s">
        <v>3</v>
      </c>
      <c r="BG80" t="s">
        <v>3</v>
      </c>
      <c r="BH80">
        <v>3</v>
      </c>
      <c r="BI80">
        <v>1</v>
      </c>
      <c r="BJ80" t="s">
        <v>3</v>
      </c>
      <c r="BM80">
        <v>1100</v>
      </c>
      <c r="BN80">
        <v>0</v>
      </c>
      <c r="BO80" t="s">
        <v>20</v>
      </c>
      <c r="BP80">
        <v>1</v>
      </c>
      <c r="BQ80">
        <v>8</v>
      </c>
      <c r="BR80">
        <v>0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0</v>
      </c>
      <c r="CA80">
        <v>0</v>
      </c>
      <c r="CE80">
        <v>0</v>
      </c>
      <c r="CF80">
        <v>0</v>
      </c>
      <c r="CG80">
        <v>0</v>
      </c>
      <c r="CM80">
        <v>0</v>
      </c>
      <c r="CN80" t="s">
        <v>3</v>
      </c>
      <c r="CO80">
        <v>0</v>
      </c>
      <c r="CP80">
        <f t="shared" si="87"/>
        <v>515088.95</v>
      </c>
      <c r="CQ80">
        <f t="shared" si="88"/>
        <v>7900.1373000000003</v>
      </c>
      <c r="CR80">
        <f t="shared" si="89"/>
        <v>0</v>
      </c>
      <c r="CS80">
        <f t="shared" si="90"/>
        <v>0</v>
      </c>
      <c r="CT80">
        <f t="shared" si="91"/>
        <v>0</v>
      </c>
      <c r="CU80">
        <f t="shared" si="92"/>
        <v>0</v>
      </c>
      <c r="CV80">
        <f t="shared" si="93"/>
        <v>0</v>
      </c>
      <c r="CW80">
        <f t="shared" si="94"/>
        <v>0</v>
      </c>
      <c r="CX80">
        <f t="shared" si="95"/>
        <v>0</v>
      </c>
      <c r="CY80">
        <f t="shared" si="96"/>
        <v>0</v>
      </c>
      <c r="CZ80">
        <f t="shared" si="97"/>
        <v>0</v>
      </c>
      <c r="DC80" t="s">
        <v>3</v>
      </c>
      <c r="DD80" t="s">
        <v>3</v>
      </c>
      <c r="DE80" t="s">
        <v>3</v>
      </c>
      <c r="DF80" t="s">
        <v>3</v>
      </c>
      <c r="DG80" t="s">
        <v>3</v>
      </c>
      <c r="DH80" t="s">
        <v>3</v>
      </c>
      <c r="DI80" t="s">
        <v>3</v>
      </c>
      <c r="DJ80" t="s">
        <v>3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1005</v>
      </c>
      <c r="DV80" t="s">
        <v>134</v>
      </c>
      <c r="DW80" t="s">
        <v>134</v>
      </c>
      <c r="DX80">
        <v>1</v>
      </c>
      <c r="DZ80" t="s">
        <v>3</v>
      </c>
      <c r="EA80" t="s">
        <v>3</v>
      </c>
      <c r="EB80" t="s">
        <v>3</v>
      </c>
      <c r="EC80" t="s">
        <v>3</v>
      </c>
      <c r="EE80">
        <v>94243658</v>
      </c>
      <c r="EF80">
        <v>8</v>
      </c>
      <c r="EG80" t="s">
        <v>136</v>
      </c>
      <c r="EH80">
        <v>0</v>
      </c>
      <c r="EI80" t="s">
        <v>3</v>
      </c>
      <c r="EJ80">
        <v>1</v>
      </c>
      <c r="EK80">
        <v>1100</v>
      </c>
      <c r="EL80" t="s">
        <v>141</v>
      </c>
      <c r="EM80" t="s">
        <v>142</v>
      </c>
      <c r="EO80" t="s">
        <v>3</v>
      </c>
      <c r="EQ80">
        <v>0</v>
      </c>
      <c r="ER80">
        <v>1022.01</v>
      </c>
      <c r="ES80">
        <v>1022.01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5</v>
      </c>
      <c r="FC80">
        <v>1</v>
      </c>
      <c r="FD80">
        <v>18</v>
      </c>
      <c r="FF80">
        <v>9480.2000000000007</v>
      </c>
      <c r="FQ80">
        <v>0</v>
      </c>
      <c r="FR80">
        <f t="shared" si="98"/>
        <v>0</v>
      </c>
      <c r="FS80">
        <v>0</v>
      </c>
      <c r="FX80">
        <v>0</v>
      </c>
      <c r="FY80">
        <v>0</v>
      </c>
      <c r="GA80" t="s">
        <v>143</v>
      </c>
      <c r="GD80">
        <v>1</v>
      </c>
      <c r="GF80">
        <v>119035018</v>
      </c>
      <c r="GG80">
        <v>1</v>
      </c>
      <c r="GH80">
        <v>3</v>
      </c>
      <c r="GI80">
        <v>4</v>
      </c>
      <c r="GJ80">
        <v>0</v>
      </c>
      <c r="GK80">
        <v>0</v>
      </c>
      <c r="GL80">
        <f t="shared" si="99"/>
        <v>0</v>
      </c>
      <c r="GM80">
        <f t="shared" si="100"/>
        <v>515088.95</v>
      </c>
      <c r="GN80">
        <f t="shared" si="101"/>
        <v>515088.95</v>
      </c>
      <c r="GO80">
        <f t="shared" si="102"/>
        <v>0</v>
      </c>
      <c r="GP80">
        <f t="shared" si="103"/>
        <v>0</v>
      </c>
      <c r="GR80">
        <v>1</v>
      </c>
      <c r="GS80">
        <v>1</v>
      </c>
      <c r="GT80">
        <v>0</v>
      </c>
      <c r="GU80" t="s">
        <v>3</v>
      </c>
      <c r="GV80">
        <f t="shared" si="104"/>
        <v>0</v>
      </c>
      <c r="GW80">
        <v>1</v>
      </c>
      <c r="GX80">
        <f t="shared" si="105"/>
        <v>0</v>
      </c>
      <c r="HA80">
        <v>0</v>
      </c>
      <c r="HB80">
        <v>0</v>
      </c>
      <c r="HC80">
        <f t="shared" si="106"/>
        <v>0</v>
      </c>
      <c r="HE80" t="s">
        <v>144</v>
      </c>
      <c r="HF80" t="s">
        <v>144</v>
      </c>
      <c r="IK80">
        <v>0</v>
      </c>
    </row>
    <row r="81" spans="1:245" x14ac:dyDescent="0.2">
      <c r="A81">
        <v>17</v>
      </c>
      <c r="B81">
        <v>1</v>
      </c>
      <c r="C81">
        <f>ROW(SmtRes!A46)</f>
        <v>46</v>
      </c>
      <c r="D81">
        <f>ROW(EtalonRes!A47)</f>
        <v>47</v>
      </c>
      <c r="E81" t="s">
        <v>145</v>
      </c>
      <c r="F81" t="s">
        <v>146</v>
      </c>
      <c r="G81" t="s">
        <v>147</v>
      </c>
      <c r="H81" t="s">
        <v>42</v>
      </c>
      <c r="I81">
        <f>ROUND(3/100,4)</f>
        <v>0.03</v>
      </c>
      <c r="J81">
        <v>0</v>
      </c>
      <c r="O81">
        <f t="shared" si="70"/>
        <v>836.23</v>
      </c>
      <c r="P81">
        <f t="shared" si="71"/>
        <v>785.65</v>
      </c>
      <c r="Q81">
        <f t="shared" si="72"/>
        <v>5.97</v>
      </c>
      <c r="R81">
        <f t="shared" si="73"/>
        <v>1.22</v>
      </c>
      <c r="S81">
        <f t="shared" si="74"/>
        <v>44.61</v>
      </c>
      <c r="T81">
        <f t="shared" si="75"/>
        <v>0</v>
      </c>
      <c r="U81">
        <f t="shared" si="76"/>
        <v>0.67654499999999984</v>
      </c>
      <c r="V81">
        <f t="shared" si="77"/>
        <v>1.3125E-2</v>
      </c>
      <c r="W81">
        <f t="shared" si="78"/>
        <v>0</v>
      </c>
      <c r="X81">
        <f t="shared" si="79"/>
        <v>48.58</v>
      </c>
      <c r="Y81">
        <f t="shared" si="80"/>
        <v>24.75</v>
      </c>
      <c r="AA81">
        <v>96554872</v>
      </c>
      <c r="AB81">
        <f t="shared" si="81"/>
        <v>3605.99</v>
      </c>
      <c r="AC81">
        <f t="shared" si="82"/>
        <v>3387.89</v>
      </c>
      <c r="AD81">
        <f>ROUND(((((ET81*1.25))-((EU81*1.25)))+AE81),2)</f>
        <v>25.74</v>
      </c>
      <c r="AE81">
        <f>ROUND(((EU81*1.25)),2)</f>
        <v>5.25</v>
      </c>
      <c r="AF81">
        <f>ROUND(((EV81*1.15)),2)</f>
        <v>192.36</v>
      </c>
      <c r="AG81">
        <f t="shared" si="84"/>
        <v>0</v>
      </c>
      <c r="AH81">
        <f>((EW81*1.15))</f>
        <v>22.551499999999997</v>
      </c>
      <c r="AI81">
        <f>((EX81*1.25))</f>
        <v>0.4375</v>
      </c>
      <c r="AJ81">
        <f t="shared" si="86"/>
        <v>0</v>
      </c>
      <c r="AK81">
        <v>3575.75</v>
      </c>
      <c r="AL81">
        <v>3387.89</v>
      </c>
      <c r="AM81">
        <v>20.59</v>
      </c>
      <c r="AN81">
        <v>4.2</v>
      </c>
      <c r="AO81">
        <v>167.27</v>
      </c>
      <c r="AP81">
        <v>0</v>
      </c>
      <c r="AQ81">
        <v>19.61</v>
      </c>
      <c r="AR81">
        <v>0.35</v>
      </c>
      <c r="AS81">
        <v>0</v>
      </c>
      <c r="AT81">
        <v>106</v>
      </c>
      <c r="AU81">
        <v>54</v>
      </c>
      <c r="AV81">
        <v>1</v>
      </c>
      <c r="AW81">
        <v>1</v>
      </c>
      <c r="AZ81">
        <v>7.73</v>
      </c>
      <c r="BA81">
        <v>7.73</v>
      </c>
      <c r="BB81">
        <v>7.73</v>
      </c>
      <c r="BC81">
        <v>7.73</v>
      </c>
      <c r="BD81" t="s">
        <v>3</v>
      </c>
      <c r="BE81" t="s">
        <v>3</v>
      </c>
      <c r="BF81" t="s">
        <v>3</v>
      </c>
      <c r="BG81" t="s">
        <v>3</v>
      </c>
      <c r="BH81">
        <v>0</v>
      </c>
      <c r="BI81">
        <v>1</v>
      </c>
      <c r="BJ81" t="s">
        <v>148</v>
      </c>
      <c r="BM81">
        <v>10001</v>
      </c>
      <c r="BN81">
        <v>0</v>
      </c>
      <c r="BO81" t="s">
        <v>20</v>
      </c>
      <c r="BP81">
        <v>1</v>
      </c>
      <c r="BQ81">
        <v>2</v>
      </c>
      <c r="BR81">
        <v>0</v>
      </c>
      <c r="BS81">
        <v>7.73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118</v>
      </c>
      <c r="CA81">
        <v>63</v>
      </c>
      <c r="CE81">
        <v>0</v>
      </c>
      <c r="CF81">
        <v>0</v>
      </c>
      <c r="CG81">
        <v>0</v>
      </c>
      <c r="CM81">
        <v>0</v>
      </c>
      <c r="CN81" t="s">
        <v>387</v>
      </c>
      <c r="CO81">
        <v>0</v>
      </c>
      <c r="CP81">
        <f t="shared" si="87"/>
        <v>836.23</v>
      </c>
      <c r="CQ81">
        <f t="shared" si="88"/>
        <v>26188.3897</v>
      </c>
      <c r="CR81">
        <f t="shared" si="89"/>
        <v>198.97020000000001</v>
      </c>
      <c r="CS81">
        <f t="shared" si="90"/>
        <v>40.582500000000003</v>
      </c>
      <c r="CT81">
        <f t="shared" si="91"/>
        <v>1486.9428000000003</v>
      </c>
      <c r="CU81">
        <f t="shared" si="92"/>
        <v>0</v>
      </c>
      <c r="CV81">
        <f t="shared" si="93"/>
        <v>22.551499999999997</v>
      </c>
      <c r="CW81">
        <f t="shared" si="94"/>
        <v>0.4375</v>
      </c>
      <c r="CX81">
        <f t="shared" si="95"/>
        <v>0</v>
      </c>
      <c r="CY81">
        <f t="shared" si="96"/>
        <v>48.579799999999999</v>
      </c>
      <c r="CZ81">
        <f t="shared" si="97"/>
        <v>24.748199999999997</v>
      </c>
      <c r="DC81" t="s">
        <v>3</v>
      </c>
      <c r="DD81" t="s">
        <v>3</v>
      </c>
      <c r="DE81" t="s">
        <v>124</v>
      </c>
      <c r="DF81" t="s">
        <v>124</v>
      </c>
      <c r="DG81" t="s">
        <v>125</v>
      </c>
      <c r="DH81" t="s">
        <v>3</v>
      </c>
      <c r="DI81" t="s">
        <v>125</v>
      </c>
      <c r="DJ81" t="s">
        <v>124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1003</v>
      </c>
      <c r="DV81" t="s">
        <v>42</v>
      </c>
      <c r="DW81" t="s">
        <v>42</v>
      </c>
      <c r="DX81">
        <v>100</v>
      </c>
      <c r="DZ81" t="s">
        <v>3</v>
      </c>
      <c r="EA81" t="s">
        <v>3</v>
      </c>
      <c r="EB81" t="s">
        <v>3</v>
      </c>
      <c r="EC81" t="s">
        <v>3</v>
      </c>
      <c r="EE81">
        <v>94243478</v>
      </c>
      <c r="EF81">
        <v>2</v>
      </c>
      <c r="EG81" t="s">
        <v>126</v>
      </c>
      <c r="EH81">
        <v>0</v>
      </c>
      <c r="EI81" t="s">
        <v>3</v>
      </c>
      <c r="EJ81">
        <v>1</v>
      </c>
      <c r="EK81">
        <v>10001</v>
      </c>
      <c r="EL81" t="s">
        <v>127</v>
      </c>
      <c r="EM81" t="s">
        <v>128</v>
      </c>
      <c r="EO81" t="s">
        <v>129</v>
      </c>
      <c r="EQ81">
        <v>0</v>
      </c>
      <c r="ER81">
        <v>3575.75</v>
      </c>
      <c r="ES81">
        <v>3387.89</v>
      </c>
      <c r="ET81">
        <v>20.59</v>
      </c>
      <c r="EU81">
        <v>4.2</v>
      </c>
      <c r="EV81">
        <v>167.27</v>
      </c>
      <c r="EW81">
        <v>19.61</v>
      </c>
      <c r="EX81">
        <v>0.35</v>
      </c>
      <c r="EY81">
        <v>0</v>
      </c>
      <c r="FQ81">
        <v>0</v>
      </c>
      <c r="FR81">
        <f t="shared" si="98"/>
        <v>0</v>
      </c>
      <c r="FS81">
        <v>0</v>
      </c>
      <c r="FT81" t="s">
        <v>130</v>
      </c>
      <c r="FU81" t="s">
        <v>131</v>
      </c>
      <c r="FX81">
        <v>106.2</v>
      </c>
      <c r="FY81">
        <v>53.55</v>
      </c>
      <c r="GA81" t="s">
        <v>3</v>
      </c>
      <c r="GD81">
        <v>1</v>
      </c>
      <c r="GF81">
        <v>-882791797</v>
      </c>
      <c r="GG81">
        <v>1</v>
      </c>
      <c r="GH81">
        <v>1</v>
      </c>
      <c r="GI81">
        <v>4</v>
      </c>
      <c r="GJ81">
        <v>0</v>
      </c>
      <c r="GK81">
        <v>0</v>
      </c>
      <c r="GL81">
        <f t="shared" si="99"/>
        <v>0</v>
      </c>
      <c r="GM81">
        <f t="shared" si="100"/>
        <v>909.56</v>
      </c>
      <c r="GN81">
        <f t="shared" si="101"/>
        <v>909.56</v>
      </c>
      <c r="GO81">
        <f t="shared" si="102"/>
        <v>0</v>
      </c>
      <c r="GP81">
        <f t="shared" si="103"/>
        <v>0</v>
      </c>
      <c r="GR81">
        <v>0</v>
      </c>
      <c r="GS81">
        <v>3</v>
      </c>
      <c r="GT81">
        <v>0</v>
      </c>
      <c r="GU81" t="s">
        <v>3</v>
      </c>
      <c r="GV81">
        <f t="shared" si="104"/>
        <v>0</v>
      </c>
      <c r="GW81">
        <v>1</v>
      </c>
      <c r="GX81">
        <f t="shared" si="105"/>
        <v>0</v>
      </c>
      <c r="HA81">
        <v>0</v>
      </c>
      <c r="HB81">
        <v>0</v>
      </c>
      <c r="HC81">
        <f t="shared" si="106"/>
        <v>0</v>
      </c>
      <c r="HE81" t="s">
        <v>3</v>
      </c>
      <c r="HF81" t="s">
        <v>3</v>
      </c>
      <c r="IK81">
        <v>0</v>
      </c>
    </row>
    <row r="82" spans="1:245" x14ac:dyDescent="0.2">
      <c r="A82">
        <v>18</v>
      </c>
      <c r="B82">
        <v>1</v>
      </c>
      <c r="C82">
        <v>43</v>
      </c>
      <c r="E82" t="s">
        <v>149</v>
      </c>
      <c r="F82" t="s">
        <v>150</v>
      </c>
      <c r="G82" t="s">
        <v>151</v>
      </c>
      <c r="H82" t="s">
        <v>152</v>
      </c>
      <c r="I82">
        <f>I81*J82</f>
        <v>3</v>
      </c>
      <c r="J82">
        <v>100</v>
      </c>
      <c r="O82">
        <f t="shared" si="70"/>
        <v>1737.16</v>
      </c>
      <c r="P82">
        <f t="shared" si="71"/>
        <v>1737.16</v>
      </c>
      <c r="Q82">
        <f t="shared" si="72"/>
        <v>0</v>
      </c>
      <c r="R82">
        <f t="shared" si="73"/>
        <v>0</v>
      </c>
      <c r="S82">
        <f t="shared" si="74"/>
        <v>0</v>
      </c>
      <c r="T82">
        <f t="shared" si="75"/>
        <v>0</v>
      </c>
      <c r="U82">
        <f t="shared" si="76"/>
        <v>0</v>
      </c>
      <c r="V82">
        <f t="shared" si="77"/>
        <v>0</v>
      </c>
      <c r="W82">
        <f t="shared" si="78"/>
        <v>0</v>
      </c>
      <c r="X82">
        <f t="shared" si="79"/>
        <v>0</v>
      </c>
      <c r="Y82">
        <f t="shared" si="80"/>
        <v>0</v>
      </c>
      <c r="AA82">
        <v>96554872</v>
      </c>
      <c r="AB82">
        <f t="shared" si="81"/>
        <v>74.91</v>
      </c>
      <c r="AC82">
        <f t="shared" si="82"/>
        <v>74.91</v>
      </c>
      <c r="AD82">
        <f>ROUND((((ET82)-(EU82))+AE82),2)</f>
        <v>0</v>
      </c>
      <c r="AE82">
        <f>ROUND((EU82),2)</f>
        <v>0</v>
      </c>
      <c r="AF82">
        <f>ROUND((EV82),2)</f>
        <v>0</v>
      </c>
      <c r="AG82">
        <f t="shared" si="84"/>
        <v>0</v>
      </c>
      <c r="AH82">
        <f>(EW82)</f>
        <v>0</v>
      </c>
      <c r="AI82">
        <f>(EX82)</f>
        <v>0</v>
      </c>
      <c r="AJ82">
        <f t="shared" si="86"/>
        <v>0</v>
      </c>
      <c r="AK82">
        <v>74.91</v>
      </c>
      <c r="AL82">
        <v>74.91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106</v>
      </c>
      <c r="AU82">
        <v>54</v>
      </c>
      <c r="AV82">
        <v>1</v>
      </c>
      <c r="AW82">
        <v>1</v>
      </c>
      <c r="AZ82">
        <v>7.73</v>
      </c>
      <c r="BA82">
        <v>1</v>
      </c>
      <c r="BB82">
        <v>1</v>
      </c>
      <c r="BC82">
        <v>7.73</v>
      </c>
      <c r="BD82" t="s">
        <v>3</v>
      </c>
      <c r="BE82" t="s">
        <v>3</v>
      </c>
      <c r="BF82" t="s">
        <v>3</v>
      </c>
      <c r="BG82" t="s">
        <v>3</v>
      </c>
      <c r="BH82">
        <v>3</v>
      </c>
      <c r="BI82">
        <v>1</v>
      </c>
      <c r="BJ82" t="s">
        <v>153</v>
      </c>
      <c r="BM82">
        <v>10001</v>
      </c>
      <c r="BN82">
        <v>0</v>
      </c>
      <c r="BO82" t="s">
        <v>20</v>
      </c>
      <c r="BP82">
        <v>1</v>
      </c>
      <c r="BQ82">
        <v>2</v>
      </c>
      <c r="BR82">
        <v>0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118</v>
      </c>
      <c r="CA82">
        <v>63</v>
      </c>
      <c r="CE82">
        <v>0</v>
      </c>
      <c r="CF82">
        <v>0</v>
      </c>
      <c r="CG82">
        <v>0</v>
      </c>
      <c r="CM82">
        <v>0</v>
      </c>
      <c r="CN82" t="s">
        <v>3</v>
      </c>
      <c r="CO82">
        <v>0</v>
      </c>
      <c r="CP82">
        <f t="shared" si="87"/>
        <v>1737.16</v>
      </c>
      <c r="CQ82">
        <f t="shared" si="88"/>
        <v>579.05430000000001</v>
      </c>
      <c r="CR82">
        <f t="shared" si="89"/>
        <v>0</v>
      </c>
      <c r="CS82">
        <f t="shared" si="90"/>
        <v>0</v>
      </c>
      <c r="CT82">
        <f t="shared" si="91"/>
        <v>0</v>
      </c>
      <c r="CU82">
        <f t="shared" si="92"/>
        <v>0</v>
      </c>
      <c r="CV82">
        <f t="shared" si="93"/>
        <v>0</v>
      </c>
      <c r="CW82">
        <f t="shared" si="94"/>
        <v>0</v>
      </c>
      <c r="CX82">
        <f t="shared" si="95"/>
        <v>0</v>
      </c>
      <c r="CY82">
        <f t="shared" si="96"/>
        <v>0</v>
      </c>
      <c r="CZ82">
        <f t="shared" si="97"/>
        <v>0</v>
      </c>
      <c r="DC82" t="s">
        <v>3</v>
      </c>
      <c r="DD82" t="s">
        <v>3</v>
      </c>
      <c r="DE82" t="s">
        <v>3</v>
      </c>
      <c r="DF82" t="s">
        <v>3</v>
      </c>
      <c r="DG82" t="s">
        <v>3</v>
      </c>
      <c r="DH82" t="s">
        <v>3</v>
      </c>
      <c r="DI82" t="s">
        <v>3</v>
      </c>
      <c r="DJ82" t="s">
        <v>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1003</v>
      </c>
      <c r="DV82" t="s">
        <v>152</v>
      </c>
      <c r="DW82" t="s">
        <v>152</v>
      </c>
      <c r="DX82">
        <v>1</v>
      </c>
      <c r="DZ82" t="s">
        <v>3</v>
      </c>
      <c r="EA82" t="s">
        <v>3</v>
      </c>
      <c r="EB82" t="s">
        <v>3</v>
      </c>
      <c r="EC82" t="s">
        <v>3</v>
      </c>
      <c r="EE82">
        <v>94243478</v>
      </c>
      <c r="EF82">
        <v>2</v>
      </c>
      <c r="EG82" t="s">
        <v>126</v>
      </c>
      <c r="EH82">
        <v>0</v>
      </c>
      <c r="EI82" t="s">
        <v>3</v>
      </c>
      <c r="EJ82">
        <v>1</v>
      </c>
      <c r="EK82">
        <v>10001</v>
      </c>
      <c r="EL82" t="s">
        <v>127</v>
      </c>
      <c r="EM82" t="s">
        <v>128</v>
      </c>
      <c r="EO82" t="s">
        <v>3</v>
      </c>
      <c r="EQ82">
        <v>0</v>
      </c>
      <c r="ER82">
        <v>74.91</v>
      </c>
      <c r="ES82">
        <v>74.91</v>
      </c>
      <c r="ET82">
        <v>0</v>
      </c>
      <c r="EU82">
        <v>0</v>
      </c>
      <c r="EV82">
        <v>0</v>
      </c>
      <c r="EW82">
        <v>0</v>
      </c>
      <c r="EX82">
        <v>0</v>
      </c>
      <c r="FQ82">
        <v>0</v>
      </c>
      <c r="FR82">
        <f t="shared" si="98"/>
        <v>0</v>
      </c>
      <c r="FS82">
        <v>0</v>
      </c>
      <c r="FT82" t="s">
        <v>130</v>
      </c>
      <c r="FU82" t="s">
        <v>131</v>
      </c>
      <c r="FX82">
        <v>106.2</v>
      </c>
      <c r="FY82">
        <v>53.55</v>
      </c>
      <c r="GA82" t="s">
        <v>3</v>
      </c>
      <c r="GD82">
        <v>1</v>
      </c>
      <c r="GF82">
        <v>-566106271</v>
      </c>
      <c r="GG82">
        <v>1</v>
      </c>
      <c r="GH82">
        <v>1</v>
      </c>
      <c r="GI82">
        <v>4</v>
      </c>
      <c r="GJ82">
        <v>0</v>
      </c>
      <c r="GK82">
        <v>0</v>
      </c>
      <c r="GL82">
        <f t="shared" si="99"/>
        <v>0</v>
      </c>
      <c r="GM82">
        <f t="shared" si="100"/>
        <v>1737.16</v>
      </c>
      <c r="GN82">
        <f t="shared" si="101"/>
        <v>1737.16</v>
      </c>
      <c r="GO82">
        <f t="shared" si="102"/>
        <v>0</v>
      </c>
      <c r="GP82">
        <f t="shared" si="103"/>
        <v>0</v>
      </c>
      <c r="GR82">
        <v>0</v>
      </c>
      <c r="GS82">
        <v>3</v>
      </c>
      <c r="GT82">
        <v>0</v>
      </c>
      <c r="GU82" t="s">
        <v>3</v>
      </c>
      <c r="GV82">
        <f t="shared" si="104"/>
        <v>0</v>
      </c>
      <c r="GW82">
        <v>1</v>
      </c>
      <c r="GX82">
        <f t="shared" si="105"/>
        <v>0</v>
      </c>
      <c r="HA82">
        <v>0</v>
      </c>
      <c r="HB82">
        <v>0</v>
      </c>
      <c r="HC82">
        <f t="shared" si="106"/>
        <v>0</v>
      </c>
      <c r="HE82" t="s">
        <v>3</v>
      </c>
      <c r="HF82" t="s">
        <v>3</v>
      </c>
      <c r="IK82">
        <v>0</v>
      </c>
    </row>
    <row r="83" spans="1:245" x14ac:dyDescent="0.2">
      <c r="A83">
        <v>18</v>
      </c>
      <c r="B83">
        <v>1</v>
      </c>
      <c r="C83">
        <v>44</v>
      </c>
      <c r="E83" t="s">
        <v>154</v>
      </c>
      <c r="F83" t="s">
        <v>155</v>
      </c>
      <c r="G83" t="s">
        <v>156</v>
      </c>
      <c r="H83" t="s">
        <v>157</v>
      </c>
      <c r="I83">
        <f>I81*J83</f>
        <v>0.2</v>
      </c>
      <c r="J83">
        <v>6.666666666666667</v>
      </c>
      <c r="O83">
        <f t="shared" si="70"/>
        <v>4.87</v>
      </c>
      <c r="P83">
        <f t="shared" si="71"/>
        <v>4.87</v>
      </c>
      <c r="Q83">
        <f t="shared" si="72"/>
        <v>0</v>
      </c>
      <c r="R83">
        <f t="shared" si="73"/>
        <v>0</v>
      </c>
      <c r="S83">
        <f t="shared" si="74"/>
        <v>0</v>
      </c>
      <c r="T83">
        <f t="shared" si="75"/>
        <v>0</v>
      </c>
      <c r="U83">
        <f t="shared" si="76"/>
        <v>0</v>
      </c>
      <c r="V83">
        <f t="shared" si="77"/>
        <v>0</v>
      </c>
      <c r="W83">
        <f t="shared" si="78"/>
        <v>0</v>
      </c>
      <c r="X83">
        <f t="shared" si="79"/>
        <v>0</v>
      </c>
      <c r="Y83">
        <f t="shared" si="80"/>
        <v>0</v>
      </c>
      <c r="AA83">
        <v>96554872</v>
      </c>
      <c r="AB83">
        <f t="shared" si="81"/>
        <v>3.15</v>
      </c>
      <c r="AC83">
        <f t="shared" si="82"/>
        <v>3.15</v>
      </c>
      <c r="AD83">
        <f>ROUND((((ET83)-(EU83))+AE83),2)</f>
        <v>0</v>
      </c>
      <c r="AE83">
        <f>ROUND((EU83),2)</f>
        <v>0</v>
      </c>
      <c r="AF83">
        <f>ROUND((EV83),2)</f>
        <v>0</v>
      </c>
      <c r="AG83">
        <f t="shared" si="84"/>
        <v>0</v>
      </c>
      <c r="AH83">
        <f>(EW83)</f>
        <v>0</v>
      </c>
      <c r="AI83">
        <f>(EX83)</f>
        <v>0</v>
      </c>
      <c r="AJ83">
        <f t="shared" si="86"/>
        <v>0</v>
      </c>
      <c r="AK83">
        <v>3.15</v>
      </c>
      <c r="AL83">
        <v>3.15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106</v>
      </c>
      <c r="AU83">
        <v>54</v>
      </c>
      <c r="AV83">
        <v>1</v>
      </c>
      <c r="AW83">
        <v>1</v>
      </c>
      <c r="AZ83">
        <v>7.73</v>
      </c>
      <c r="BA83">
        <v>1</v>
      </c>
      <c r="BB83">
        <v>1</v>
      </c>
      <c r="BC83">
        <v>7.73</v>
      </c>
      <c r="BD83" t="s">
        <v>3</v>
      </c>
      <c r="BE83" t="s">
        <v>3</v>
      </c>
      <c r="BF83" t="s">
        <v>3</v>
      </c>
      <c r="BG83" t="s">
        <v>3</v>
      </c>
      <c r="BH83">
        <v>3</v>
      </c>
      <c r="BI83">
        <v>1</v>
      </c>
      <c r="BJ83" t="s">
        <v>158</v>
      </c>
      <c r="BM83">
        <v>10001</v>
      </c>
      <c r="BN83">
        <v>0</v>
      </c>
      <c r="BO83" t="s">
        <v>20</v>
      </c>
      <c r="BP83">
        <v>1</v>
      </c>
      <c r="BQ83">
        <v>2</v>
      </c>
      <c r="BR83">
        <v>0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118</v>
      </c>
      <c r="CA83">
        <v>63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87"/>
        <v>4.87</v>
      </c>
      <c r="CQ83">
        <f t="shared" si="88"/>
        <v>24.349499999999999</v>
      </c>
      <c r="CR83">
        <f t="shared" si="89"/>
        <v>0</v>
      </c>
      <c r="CS83">
        <f t="shared" si="90"/>
        <v>0</v>
      </c>
      <c r="CT83">
        <f t="shared" si="91"/>
        <v>0</v>
      </c>
      <c r="CU83">
        <f t="shared" si="92"/>
        <v>0</v>
      </c>
      <c r="CV83">
        <f t="shared" si="93"/>
        <v>0</v>
      </c>
      <c r="CW83">
        <f t="shared" si="94"/>
        <v>0</v>
      </c>
      <c r="CX83">
        <f t="shared" si="95"/>
        <v>0</v>
      </c>
      <c r="CY83">
        <f t="shared" si="96"/>
        <v>0</v>
      </c>
      <c r="CZ83">
        <f t="shared" si="97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1013</v>
      </c>
      <c r="DV83" t="s">
        <v>157</v>
      </c>
      <c r="DW83" t="s">
        <v>157</v>
      </c>
      <c r="DX83">
        <v>1</v>
      </c>
      <c r="DZ83" t="s">
        <v>3</v>
      </c>
      <c r="EA83" t="s">
        <v>3</v>
      </c>
      <c r="EB83" t="s">
        <v>3</v>
      </c>
      <c r="EC83" t="s">
        <v>3</v>
      </c>
      <c r="EE83">
        <v>94243478</v>
      </c>
      <c r="EF83">
        <v>2</v>
      </c>
      <c r="EG83" t="s">
        <v>126</v>
      </c>
      <c r="EH83">
        <v>0</v>
      </c>
      <c r="EI83" t="s">
        <v>3</v>
      </c>
      <c r="EJ83">
        <v>1</v>
      </c>
      <c r="EK83">
        <v>10001</v>
      </c>
      <c r="EL83" t="s">
        <v>127</v>
      </c>
      <c r="EM83" t="s">
        <v>128</v>
      </c>
      <c r="EO83" t="s">
        <v>3</v>
      </c>
      <c r="EQ83">
        <v>0</v>
      </c>
      <c r="ER83">
        <v>3.15</v>
      </c>
      <c r="ES83">
        <v>3.15</v>
      </c>
      <c r="ET83">
        <v>0</v>
      </c>
      <c r="EU83">
        <v>0</v>
      </c>
      <c r="EV83">
        <v>0</v>
      </c>
      <c r="EW83">
        <v>0</v>
      </c>
      <c r="EX83">
        <v>0</v>
      </c>
      <c r="FQ83">
        <v>0</v>
      </c>
      <c r="FR83">
        <f t="shared" si="98"/>
        <v>0</v>
      </c>
      <c r="FS83">
        <v>0</v>
      </c>
      <c r="FT83" t="s">
        <v>130</v>
      </c>
      <c r="FU83" t="s">
        <v>131</v>
      </c>
      <c r="FX83">
        <v>106.2</v>
      </c>
      <c r="FY83">
        <v>53.55</v>
      </c>
      <c r="GA83" t="s">
        <v>3</v>
      </c>
      <c r="GD83">
        <v>1</v>
      </c>
      <c r="GF83">
        <v>-1253979766</v>
      </c>
      <c r="GG83">
        <v>1</v>
      </c>
      <c r="GH83">
        <v>1</v>
      </c>
      <c r="GI83">
        <v>4</v>
      </c>
      <c r="GJ83">
        <v>0</v>
      </c>
      <c r="GK83">
        <v>0</v>
      </c>
      <c r="GL83">
        <f t="shared" si="99"/>
        <v>0</v>
      </c>
      <c r="GM83">
        <f t="shared" si="100"/>
        <v>4.87</v>
      </c>
      <c r="GN83">
        <f t="shared" si="101"/>
        <v>4.87</v>
      </c>
      <c r="GO83">
        <f t="shared" si="102"/>
        <v>0</v>
      </c>
      <c r="GP83">
        <f t="shared" si="103"/>
        <v>0</v>
      </c>
      <c r="GR83">
        <v>0</v>
      </c>
      <c r="GS83">
        <v>3</v>
      </c>
      <c r="GT83">
        <v>0</v>
      </c>
      <c r="GU83" t="s">
        <v>3</v>
      </c>
      <c r="GV83">
        <f t="shared" si="104"/>
        <v>0</v>
      </c>
      <c r="GW83">
        <v>1</v>
      </c>
      <c r="GX83">
        <f t="shared" si="105"/>
        <v>0</v>
      </c>
      <c r="HA83">
        <v>0</v>
      </c>
      <c r="HB83">
        <v>0</v>
      </c>
      <c r="HC83">
        <f t="shared" si="106"/>
        <v>0</v>
      </c>
      <c r="HE83" t="s">
        <v>3</v>
      </c>
      <c r="HF83" t="s">
        <v>3</v>
      </c>
      <c r="IK83">
        <v>0</v>
      </c>
    </row>
    <row r="84" spans="1:245" x14ac:dyDescent="0.2">
      <c r="A84">
        <v>17</v>
      </c>
      <c r="B84">
        <v>1</v>
      </c>
      <c r="C84">
        <f>ROW(SmtRes!A54)</f>
        <v>54</v>
      </c>
      <c r="D84">
        <f>ROW(EtalonRes!A55)</f>
        <v>55</v>
      </c>
      <c r="E84" t="s">
        <v>159</v>
      </c>
      <c r="F84" t="s">
        <v>160</v>
      </c>
      <c r="G84" t="s">
        <v>161</v>
      </c>
      <c r="H84" t="s">
        <v>18</v>
      </c>
      <c r="I84">
        <f>ROUND(7.92/100,4)</f>
        <v>7.9200000000000007E-2</v>
      </c>
      <c r="J84">
        <v>0</v>
      </c>
      <c r="O84">
        <f t="shared" si="70"/>
        <v>1103.2</v>
      </c>
      <c r="P84">
        <f t="shared" si="71"/>
        <v>0.22</v>
      </c>
      <c r="Q84">
        <f t="shared" si="72"/>
        <v>27.06</v>
      </c>
      <c r="R84">
        <f t="shared" si="73"/>
        <v>5.27</v>
      </c>
      <c r="S84">
        <f t="shared" si="74"/>
        <v>1075.92</v>
      </c>
      <c r="T84">
        <f t="shared" si="75"/>
        <v>0</v>
      </c>
      <c r="U84">
        <f t="shared" si="76"/>
        <v>15.1620876</v>
      </c>
      <c r="V84">
        <f t="shared" si="77"/>
        <v>5.7420000000000006E-2</v>
      </c>
      <c r="W84">
        <f t="shared" si="78"/>
        <v>0</v>
      </c>
      <c r="X84">
        <f t="shared" si="79"/>
        <v>1027.1300000000001</v>
      </c>
      <c r="Y84">
        <f t="shared" si="80"/>
        <v>508.16</v>
      </c>
      <c r="AA84">
        <v>96554872</v>
      </c>
      <c r="AB84">
        <f t="shared" si="81"/>
        <v>1801.98</v>
      </c>
      <c r="AC84">
        <f t="shared" si="82"/>
        <v>0.36</v>
      </c>
      <c r="AD84">
        <f>ROUND(((((ET84*1.25))-((EU84*1.25)))+AE84),2)</f>
        <v>44.2</v>
      </c>
      <c r="AE84">
        <f>ROUND(((EU84*1.25)),2)</f>
        <v>8.6</v>
      </c>
      <c r="AF84">
        <f>ROUND(((EV84*1.15)),2)</f>
        <v>1757.42</v>
      </c>
      <c r="AG84">
        <f t="shared" si="84"/>
        <v>0</v>
      </c>
      <c r="AH84">
        <f>((EW84*1.15))</f>
        <v>191.44049999999999</v>
      </c>
      <c r="AI84">
        <f>((EX84*1.25))</f>
        <v>0.72499999999999998</v>
      </c>
      <c r="AJ84">
        <f t="shared" si="86"/>
        <v>0</v>
      </c>
      <c r="AK84">
        <v>1563.91</v>
      </c>
      <c r="AL84">
        <v>0.36</v>
      </c>
      <c r="AM84">
        <v>35.36</v>
      </c>
      <c r="AN84">
        <v>6.88</v>
      </c>
      <c r="AO84">
        <v>1528.19</v>
      </c>
      <c r="AP84">
        <v>0</v>
      </c>
      <c r="AQ84">
        <v>166.47</v>
      </c>
      <c r="AR84">
        <v>0.57999999999999996</v>
      </c>
      <c r="AS84">
        <v>0</v>
      </c>
      <c r="AT84">
        <v>95</v>
      </c>
      <c r="AU84">
        <v>47</v>
      </c>
      <c r="AV84">
        <v>1</v>
      </c>
      <c r="AW84">
        <v>1</v>
      </c>
      <c r="AZ84">
        <v>7.73</v>
      </c>
      <c r="BA84">
        <v>7.73</v>
      </c>
      <c r="BB84">
        <v>7.73</v>
      </c>
      <c r="BC84">
        <v>7.73</v>
      </c>
      <c r="BD84" t="s">
        <v>3</v>
      </c>
      <c r="BE84" t="s">
        <v>3</v>
      </c>
      <c r="BF84" t="s">
        <v>3</v>
      </c>
      <c r="BG84" t="s">
        <v>3</v>
      </c>
      <c r="BH84">
        <v>0</v>
      </c>
      <c r="BI84">
        <v>1</v>
      </c>
      <c r="BJ84" t="s">
        <v>162</v>
      </c>
      <c r="BM84">
        <v>15001</v>
      </c>
      <c r="BN84">
        <v>0</v>
      </c>
      <c r="BO84" t="s">
        <v>20</v>
      </c>
      <c r="BP84">
        <v>1</v>
      </c>
      <c r="BQ84">
        <v>2</v>
      </c>
      <c r="BR84">
        <v>0</v>
      </c>
      <c r="BS84">
        <v>7.73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105</v>
      </c>
      <c r="CA84">
        <v>55</v>
      </c>
      <c r="CE84">
        <v>0</v>
      </c>
      <c r="CF84">
        <v>0</v>
      </c>
      <c r="CG84">
        <v>0</v>
      </c>
      <c r="CM84">
        <v>0</v>
      </c>
      <c r="CN84" t="s">
        <v>387</v>
      </c>
      <c r="CO84">
        <v>0</v>
      </c>
      <c r="CP84">
        <f t="shared" si="87"/>
        <v>1103.2</v>
      </c>
      <c r="CQ84">
        <f t="shared" si="88"/>
        <v>2.7827999999999999</v>
      </c>
      <c r="CR84">
        <f t="shared" si="89"/>
        <v>341.66600000000005</v>
      </c>
      <c r="CS84">
        <f t="shared" si="90"/>
        <v>66.477999999999994</v>
      </c>
      <c r="CT84">
        <f t="shared" si="91"/>
        <v>13584.856600000001</v>
      </c>
      <c r="CU84">
        <f t="shared" si="92"/>
        <v>0</v>
      </c>
      <c r="CV84">
        <f t="shared" si="93"/>
        <v>191.44049999999999</v>
      </c>
      <c r="CW84">
        <f t="shared" si="94"/>
        <v>0.72499999999999998</v>
      </c>
      <c r="CX84">
        <f t="shared" si="95"/>
        <v>0</v>
      </c>
      <c r="CY84">
        <f t="shared" si="96"/>
        <v>1027.1305</v>
      </c>
      <c r="CZ84">
        <f t="shared" si="97"/>
        <v>508.15930000000003</v>
      </c>
      <c r="DC84" t="s">
        <v>3</v>
      </c>
      <c r="DD84" t="s">
        <v>3</v>
      </c>
      <c r="DE84" t="s">
        <v>124</v>
      </c>
      <c r="DF84" t="s">
        <v>124</v>
      </c>
      <c r="DG84" t="s">
        <v>125</v>
      </c>
      <c r="DH84" t="s">
        <v>3</v>
      </c>
      <c r="DI84" t="s">
        <v>125</v>
      </c>
      <c r="DJ84" t="s">
        <v>124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1005</v>
      </c>
      <c r="DV84" t="s">
        <v>18</v>
      </c>
      <c r="DW84" t="s">
        <v>18</v>
      </c>
      <c r="DX84">
        <v>100</v>
      </c>
      <c r="DZ84" t="s">
        <v>3</v>
      </c>
      <c r="EA84" t="s">
        <v>3</v>
      </c>
      <c r="EB84" t="s">
        <v>3</v>
      </c>
      <c r="EC84" t="s">
        <v>3</v>
      </c>
      <c r="EE84">
        <v>94243504</v>
      </c>
      <c r="EF84">
        <v>2</v>
      </c>
      <c r="EG84" t="s">
        <v>126</v>
      </c>
      <c r="EH84">
        <v>0</v>
      </c>
      <c r="EI84" t="s">
        <v>3</v>
      </c>
      <c r="EJ84">
        <v>1</v>
      </c>
      <c r="EK84">
        <v>15001</v>
      </c>
      <c r="EL84" t="s">
        <v>163</v>
      </c>
      <c r="EM84" t="s">
        <v>164</v>
      </c>
      <c r="EO84" t="s">
        <v>129</v>
      </c>
      <c r="EQ84">
        <v>0</v>
      </c>
      <c r="ER84">
        <v>1563.91</v>
      </c>
      <c r="ES84">
        <v>0.36</v>
      </c>
      <c r="ET84">
        <v>35.36</v>
      </c>
      <c r="EU84">
        <v>6.88</v>
      </c>
      <c r="EV84">
        <v>1528.19</v>
      </c>
      <c r="EW84">
        <v>166.47</v>
      </c>
      <c r="EX84">
        <v>0.57999999999999996</v>
      </c>
      <c r="EY84">
        <v>0</v>
      </c>
      <c r="FQ84">
        <v>0</v>
      </c>
      <c r="FR84">
        <f t="shared" si="98"/>
        <v>0</v>
      </c>
      <c r="FS84">
        <v>0</v>
      </c>
      <c r="FT84" t="s">
        <v>130</v>
      </c>
      <c r="FU84" t="s">
        <v>131</v>
      </c>
      <c r="FX84">
        <v>94.5</v>
      </c>
      <c r="FY84">
        <v>46.75</v>
      </c>
      <c r="GA84" t="s">
        <v>3</v>
      </c>
      <c r="GD84">
        <v>1</v>
      </c>
      <c r="GF84">
        <v>-834646661</v>
      </c>
      <c r="GG84">
        <v>1</v>
      </c>
      <c r="GH84">
        <v>1</v>
      </c>
      <c r="GI84">
        <v>4</v>
      </c>
      <c r="GJ84">
        <v>0</v>
      </c>
      <c r="GK84">
        <v>0</v>
      </c>
      <c r="GL84">
        <f t="shared" si="99"/>
        <v>0</v>
      </c>
      <c r="GM84">
        <f t="shared" si="100"/>
        <v>2638.49</v>
      </c>
      <c r="GN84">
        <f t="shared" si="101"/>
        <v>2638.49</v>
      </c>
      <c r="GO84">
        <f t="shared" si="102"/>
        <v>0</v>
      </c>
      <c r="GP84">
        <f t="shared" si="103"/>
        <v>0</v>
      </c>
      <c r="GR84">
        <v>0</v>
      </c>
      <c r="GS84">
        <v>3</v>
      </c>
      <c r="GT84">
        <v>0</v>
      </c>
      <c r="GU84" t="s">
        <v>3</v>
      </c>
      <c r="GV84">
        <f t="shared" si="104"/>
        <v>0</v>
      </c>
      <c r="GW84">
        <v>1</v>
      </c>
      <c r="GX84">
        <f t="shared" si="105"/>
        <v>0</v>
      </c>
      <c r="HA84">
        <v>0</v>
      </c>
      <c r="HB84">
        <v>0</v>
      </c>
      <c r="HC84">
        <f t="shared" si="106"/>
        <v>0</v>
      </c>
      <c r="HE84" t="s">
        <v>3</v>
      </c>
      <c r="HF84" t="s">
        <v>3</v>
      </c>
      <c r="IK84">
        <v>0</v>
      </c>
    </row>
    <row r="85" spans="1:245" x14ac:dyDescent="0.2">
      <c r="A85">
        <v>18</v>
      </c>
      <c r="B85">
        <v>1</v>
      </c>
      <c r="C85">
        <v>52</v>
      </c>
      <c r="E85" t="s">
        <v>165</v>
      </c>
      <c r="F85" t="s">
        <v>166</v>
      </c>
      <c r="G85" t="s">
        <v>167</v>
      </c>
      <c r="H85" t="s">
        <v>168</v>
      </c>
      <c r="I85">
        <f>I84*J85</f>
        <v>8.3160000000000005E-3</v>
      </c>
      <c r="J85">
        <v>0.105</v>
      </c>
      <c r="O85">
        <f t="shared" si="70"/>
        <v>5740.44</v>
      </c>
      <c r="P85">
        <f t="shared" si="71"/>
        <v>5740.44</v>
      </c>
      <c r="Q85">
        <f t="shared" si="72"/>
        <v>0</v>
      </c>
      <c r="R85">
        <f t="shared" si="73"/>
        <v>0</v>
      </c>
      <c r="S85">
        <f t="shared" si="74"/>
        <v>0</v>
      </c>
      <c r="T85">
        <f t="shared" si="75"/>
        <v>0</v>
      </c>
      <c r="U85">
        <f t="shared" si="76"/>
        <v>0</v>
      </c>
      <c r="V85">
        <f t="shared" si="77"/>
        <v>0</v>
      </c>
      <c r="W85">
        <f t="shared" si="78"/>
        <v>0</v>
      </c>
      <c r="X85">
        <f t="shared" si="79"/>
        <v>0</v>
      </c>
      <c r="Y85">
        <f t="shared" si="80"/>
        <v>0</v>
      </c>
      <c r="AA85">
        <v>96554872</v>
      </c>
      <c r="AB85">
        <f t="shared" si="81"/>
        <v>89300</v>
      </c>
      <c r="AC85">
        <f t="shared" si="82"/>
        <v>89300</v>
      </c>
      <c r="AD85">
        <f>ROUND((((ET85)-(EU85))+AE85),2)</f>
        <v>0</v>
      </c>
      <c r="AE85">
        <f t="shared" ref="AE85:AF87" si="107">ROUND((EU85),2)</f>
        <v>0</v>
      </c>
      <c r="AF85">
        <f t="shared" si="107"/>
        <v>0</v>
      </c>
      <c r="AG85">
        <f t="shared" si="84"/>
        <v>0</v>
      </c>
      <c r="AH85">
        <f t="shared" ref="AH85:AI87" si="108">(EW85)</f>
        <v>0</v>
      </c>
      <c r="AI85">
        <f t="shared" si="108"/>
        <v>0</v>
      </c>
      <c r="AJ85">
        <f t="shared" si="86"/>
        <v>0</v>
      </c>
      <c r="AK85">
        <v>89300</v>
      </c>
      <c r="AL85">
        <v>89300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95</v>
      </c>
      <c r="AU85">
        <v>47</v>
      </c>
      <c r="AV85">
        <v>1</v>
      </c>
      <c r="AW85">
        <v>1</v>
      </c>
      <c r="AZ85">
        <v>7.73</v>
      </c>
      <c r="BA85">
        <v>1</v>
      </c>
      <c r="BB85">
        <v>1</v>
      </c>
      <c r="BC85">
        <v>7.73</v>
      </c>
      <c r="BD85" t="s">
        <v>3</v>
      </c>
      <c r="BE85" t="s">
        <v>3</v>
      </c>
      <c r="BF85" t="s">
        <v>3</v>
      </c>
      <c r="BG85" t="s">
        <v>3</v>
      </c>
      <c r="BH85">
        <v>3</v>
      </c>
      <c r="BI85">
        <v>1</v>
      </c>
      <c r="BJ85" t="s">
        <v>169</v>
      </c>
      <c r="BM85">
        <v>15001</v>
      </c>
      <c r="BN85">
        <v>0</v>
      </c>
      <c r="BO85" t="s">
        <v>20</v>
      </c>
      <c r="BP85">
        <v>1</v>
      </c>
      <c r="BQ85">
        <v>2</v>
      </c>
      <c r="BR85">
        <v>0</v>
      </c>
      <c r="BS85">
        <v>1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105</v>
      </c>
      <c r="CA85">
        <v>55</v>
      </c>
      <c r="CE85">
        <v>0</v>
      </c>
      <c r="CF85">
        <v>0</v>
      </c>
      <c r="CG85">
        <v>0</v>
      </c>
      <c r="CM85">
        <v>0</v>
      </c>
      <c r="CN85" t="s">
        <v>3</v>
      </c>
      <c r="CO85">
        <v>0</v>
      </c>
      <c r="CP85">
        <f t="shared" si="87"/>
        <v>5740.44</v>
      </c>
      <c r="CQ85">
        <f t="shared" si="88"/>
        <v>690289</v>
      </c>
      <c r="CR85">
        <f t="shared" si="89"/>
        <v>0</v>
      </c>
      <c r="CS85">
        <f t="shared" si="90"/>
        <v>0</v>
      </c>
      <c r="CT85">
        <f t="shared" si="91"/>
        <v>0</v>
      </c>
      <c r="CU85">
        <f t="shared" si="92"/>
        <v>0</v>
      </c>
      <c r="CV85">
        <f t="shared" si="93"/>
        <v>0</v>
      </c>
      <c r="CW85">
        <f t="shared" si="94"/>
        <v>0</v>
      </c>
      <c r="CX85">
        <f t="shared" si="95"/>
        <v>0</v>
      </c>
      <c r="CY85">
        <f t="shared" si="96"/>
        <v>0</v>
      </c>
      <c r="CZ85">
        <f t="shared" si="97"/>
        <v>0</v>
      </c>
      <c r="DC85" t="s">
        <v>3</v>
      </c>
      <c r="DD85" t="s">
        <v>3</v>
      </c>
      <c r="DE85" t="s">
        <v>3</v>
      </c>
      <c r="DF85" t="s">
        <v>3</v>
      </c>
      <c r="DG85" t="s">
        <v>3</v>
      </c>
      <c r="DH85" t="s">
        <v>3</v>
      </c>
      <c r="DI85" t="s">
        <v>3</v>
      </c>
      <c r="DJ85" t="s">
        <v>3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1005</v>
      </c>
      <c r="DV85" t="s">
        <v>168</v>
      </c>
      <c r="DW85" t="s">
        <v>168</v>
      </c>
      <c r="DX85">
        <v>1000</v>
      </c>
      <c r="DZ85" t="s">
        <v>3</v>
      </c>
      <c r="EA85" t="s">
        <v>3</v>
      </c>
      <c r="EB85" t="s">
        <v>3</v>
      </c>
      <c r="EC85" t="s">
        <v>3</v>
      </c>
      <c r="EE85">
        <v>94243504</v>
      </c>
      <c r="EF85">
        <v>2</v>
      </c>
      <c r="EG85" t="s">
        <v>126</v>
      </c>
      <c r="EH85">
        <v>0</v>
      </c>
      <c r="EI85" t="s">
        <v>3</v>
      </c>
      <c r="EJ85">
        <v>1</v>
      </c>
      <c r="EK85">
        <v>15001</v>
      </c>
      <c r="EL85" t="s">
        <v>163</v>
      </c>
      <c r="EM85" t="s">
        <v>164</v>
      </c>
      <c r="EO85" t="s">
        <v>3</v>
      </c>
      <c r="EQ85">
        <v>0</v>
      </c>
      <c r="ER85">
        <v>89300</v>
      </c>
      <c r="ES85">
        <v>89300</v>
      </c>
      <c r="ET85">
        <v>0</v>
      </c>
      <c r="EU85">
        <v>0</v>
      </c>
      <c r="EV85">
        <v>0</v>
      </c>
      <c r="EW85">
        <v>0</v>
      </c>
      <c r="EX85">
        <v>0</v>
      </c>
      <c r="FQ85">
        <v>0</v>
      </c>
      <c r="FR85">
        <f t="shared" si="98"/>
        <v>0</v>
      </c>
      <c r="FS85">
        <v>0</v>
      </c>
      <c r="FT85" t="s">
        <v>130</v>
      </c>
      <c r="FU85" t="s">
        <v>131</v>
      </c>
      <c r="FX85">
        <v>94.5</v>
      </c>
      <c r="FY85">
        <v>46.75</v>
      </c>
      <c r="GA85" t="s">
        <v>3</v>
      </c>
      <c r="GD85">
        <v>1</v>
      </c>
      <c r="GF85">
        <v>-1029822189</v>
      </c>
      <c r="GG85">
        <v>1</v>
      </c>
      <c r="GH85">
        <v>1</v>
      </c>
      <c r="GI85">
        <v>4</v>
      </c>
      <c r="GJ85">
        <v>0</v>
      </c>
      <c r="GK85">
        <v>0</v>
      </c>
      <c r="GL85">
        <f t="shared" si="99"/>
        <v>0</v>
      </c>
      <c r="GM85">
        <f t="shared" si="100"/>
        <v>5740.44</v>
      </c>
      <c r="GN85">
        <f t="shared" si="101"/>
        <v>5740.44</v>
      </c>
      <c r="GO85">
        <f t="shared" si="102"/>
        <v>0</v>
      </c>
      <c r="GP85">
        <f t="shared" si="103"/>
        <v>0</v>
      </c>
      <c r="GR85">
        <v>0</v>
      </c>
      <c r="GS85">
        <v>3</v>
      </c>
      <c r="GT85">
        <v>0</v>
      </c>
      <c r="GU85" t="s">
        <v>3</v>
      </c>
      <c r="GV85">
        <f t="shared" si="104"/>
        <v>0</v>
      </c>
      <c r="GW85">
        <v>1</v>
      </c>
      <c r="GX85">
        <f t="shared" si="105"/>
        <v>0</v>
      </c>
      <c r="HA85">
        <v>0</v>
      </c>
      <c r="HB85">
        <v>0</v>
      </c>
      <c r="HC85">
        <f t="shared" si="106"/>
        <v>0</v>
      </c>
      <c r="HE85" t="s">
        <v>3</v>
      </c>
      <c r="HF85" t="s">
        <v>3</v>
      </c>
      <c r="IK85">
        <v>0</v>
      </c>
    </row>
    <row r="86" spans="1:245" x14ac:dyDescent="0.2">
      <c r="A86">
        <v>18</v>
      </c>
      <c r="B86">
        <v>1</v>
      </c>
      <c r="C86">
        <v>53</v>
      </c>
      <c r="E86" t="s">
        <v>170</v>
      </c>
      <c r="F86" t="s">
        <v>171</v>
      </c>
      <c r="G86" t="s">
        <v>172</v>
      </c>
      <c r="H86" t="s">
        <v>173</v>
      </c>
      <c r="I86">
        <f>I84*J86</f>
        <v>2.3759999999999999</v>
      </c>
      <c r="J86">
        <v>29.999999999999996</v>
      </c>
      <c r="O86">
        <f t="shared" si="70"/>
        <v>469.45</v>
      </c>
      <c r="P86">
        <f t="shared" si="71"/>
        <v>469.45</v>
      </c>
      <c r="Q86">
        <f t="shared" si="72"/>
        <v>0</v>
      </c>
      <c r="R86">
        <f t="shared" si="73"/>
        <v>0</v>
      </c>
      <c r="S86">
        <f t="shared" si="74"/>
        <v>0</v>
      </c>
      <c r="T86">
        <f t="shared" si="75"/>
        <v>0</v>
      </c>
      <c r="U86">
        <f t="shared" si="76"/>
        <v>0</v>
      </c>
      <c r="V86">
        <f t="shared" si="77"/>
        <v>0</v>
      </c>
      <c r="W86">
        <f t="shared" si="78"/>
        <v>0</v>
      </c>
      <c r="X86">
        <f t="shared" si="79"/>
        <v>0</v>
      </c>
      <c r="Y86">
        <f t="shared" si="80"/>
        <v>0</v>
      </c>
      <c r="AA86">
        <v>96554872</v>
      </c>
      <c r="AB86">
        <f t="shared" si="81"/>
        <v>25.56</v>
      </c>
      <c r="AC86">
        <f t="shared" si="82"/>
        <v>25.56</v>
      </c>
      <c r="AD86">
        <f>ROUND((((ET86)-(EU86))+AE86),2)</f>
        <v>0</v>
      </c>
      <c r="AE86">
        <f t="shared" si="107"/>
        <v>0</v>
      </c>
      <c r="AF86">
        <f t="shared" si="107"/>
        <v>0</v>
      </c>
      <c r="AG86">
        <f t="shared" si="84"/>
        <v>0</v>
      </c>
      <c r="AH86">
        <f t="shared" si="108"/>
        <v>0</v>
      </c>
      <c r="AI86">
        <f t="shared" si="108"/>
        <v>0</v>
      </c>
      <c r="AJ86">
        <f t="shared" si="86"/>
        <v>0</v>
      </c>
      <c r="AK86">
        <v>25.56</v>
      </c>
      <c r="AL86">
        <v>25.56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95</v>
      </c>
      <c r="AU86">
        <v>47</v>
      </c>
      <c r="AV86">
        <v>1</v>
      </c>
      <c r="AW86">
        <v>1</v>
      </c>
      <c r="AZ86">
        <v>7.73</v>
      </c>
      <c r="BA86">
        <v>1</v>
      </c>
      <c r="BB86">
        <v>1</v>
      </c>
      <c r="BC86">
        <v>7.73</v>
      </c>
      <c r="BD86" t="s">
        <v>3</v>
      </c>
      <c r="BE86" t="s">
        <v>3</v>
      </c>
      <c r="BF86" t="s">
        <v>3</v>
      </c>
      <c r="BG86" t="s">
        <v>3</v>
      </c>
      <c r="BH86">
        <v>3</v>
      </c>
      <c r="BI86">
        <v>1</v>
      </c>
      <c r="BJ86" t="s">
        <v>174</v>
      </c>
      <c r="BM86">
        <v>15001</v>
      </c>
      <c r="BN86">
        <v>0</v>
      </c>
      <c r="BO86" t="s">
        <v>20</v>
      </c>
      <c r="BP86">
        <v>1</v>
      </c>
      <c r="BQ86">
        <v>2</v>
      </c>
      <c r="BR86">
        <v>0</v>
      </c>
      <c r="BS86">
        <v>1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105</v>
      </c>
      <c r="CA86">
        <v>55</v>
      </c>
      <c r="CE86">
        <v>0</v>
      </c>
      <c r="CF86">
        <v>0</v>
      </c>
      <c r="CG86">
        <v>0</v>
      </c>
      <c r="CM86">
        <v>0</v>
      </c>
      <c r="CN86" t="s">
        <v>3</v>
      </c>
      <c r="CO86">
        <v>0</v>
      </c>
      <c r="CP86">
        <f t="shared" si="87"/>
        <v>469.45</v>
      </c>
      <c r="CQ86">
        <f t="shared" si="88"/>
        <v>197.5788</v>
      </c>
      <c r="CR86">
        <f t="shared" si="89"/>
        <v>0</v>
      </c>
      <c r="CS86">
        <f t="shared" si="90"/>
        <v>0</v>
      </c>
      <c r="CT86">
        <f t="shared" si="91"/>
        <v>0</v>
      </c>
      <c r="CU86">
        <f t="shared" si="92"/>
        <v>0</v>
      </c>
      <c r="CV86">
        <f t="shared" si="93"/>
        <v>0</v>
      </c>
      <c r="CW86">
        <f t="shared" si="94"/>
        <v>0</v>
      </c>
      <c r="CX86">
        <f t="shared" si="95"/>
        <v>0</v>
      </c>
      <c r="CY86">
        <f t="shared" si="96"/>
        <v>0</v>
      </c>
      <c r="CZ86">
        <f t="shared" si="97"/>
        <v>0</v>
      </c>
      <c r="DC86" t="s">
        <v>3</v>
      </c>
      <c r="DD86" t="s">
        <v>3</v>
      </c>
      <c r="DE86" t="s">
        <v>3</v>
      </c>
      <c r="DF86" t="s">
        <v>3</v>
      </c>
      <c r="DG86" t="s">
        <v>3</v>
      </c>
      <c r="DH86" t="s">
        <v>3</v>
      </c>
      <c r="DI86" t="s">
        <v>3</v>
      </c>
      <c r="DJ86" t="s">
        <v>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1009</v>
      </c>
      <c r="DV86" t="s">
        <v>173</v>
      </c>
      <c r="DW86" t="s">
        <v>173</v>
      </c>
      <c r="DX86">
        <v>1</v>
      </c>
      <c r="DZ86" t="s">
        <v>3</v>
      </c>
      <c r="EA86" t="s">
        <v>3</v>
      </c>
      <c r="EB86" t="s">
        <v>3</v>
      </c>
      <c r="EC86" t="s">
        <v>3</v>
      </c>
      <c r="EE86">
        <v>94243504</v>
      </c>
      <c r="EF86">
        <v>2</v>
      </c>
      <c r="EG86" t="s">
        <v>126</v>
      </c>
      <c r="EH86">
        <v>0</v>
      </c>
      <c r="EI86" t="s">
        <v>3</v>
      </c>
      <c r="EJ86">
        <v>1</v>
      </c>
      <c r="EK86">
        <v>15001</v>
      </c>
      <c r="EL86" t="s">
        <v>163</v>
      </c>
      <c r="EM86" t="s">
        <v>164</v>
      </c>
      <c r="EO86" t="s">
        <v>3</v>
      </c>
      <c r="EQ86">
        <v>0</v>
      </c>
      <c r="ER86">
        <v>25.56</v>
      </c>
      <c r="ES86">
        <v>25.56</v>
      </c>
      <c r="ET86">
        <v>0</v>
      </c>
      <c r="EU86">
        <v>0</v>
      </c>
      <c r="EV86">
        <v>0</v>
      </c>
      <c r="EW86">
        <v>0</v>
      </c>
      <c r="EX86">
        <v>0</v>
      </c>
      <c r="FQ86">
        <v>0</v>
      </c>
      <c r="FR86">
        <f t="shared" si="98"/>
        <v>0</v>
      </c>
      <c r="FS86">
        <v>0</v>
      </c>
      <c r="FT86" t="s">
        <v>130</v>
      </c>
      <c r="FU86" t="s">
        <v>131</v>
      </c>
      <c r="FX86">
        <v>94.5</v>
      </c>
      <c r="FY86">
        <v>46.75</v>
      </c>
      <c r="GA86" t="s">
        <v>3</v>
      </c>
      <c r="GD86">
        <v>1</v>
      </c>
      <c r="GF86">
        <v>311624270</v>
      </c>
      <c r="GG86">
        <v>1</v>
      </c>
      <c r="GH86">
        <v>1</v>
      </c>
      <c r="GI86">
        <v>4</v>
      </c>
      <c r="GJ86">
        <v>0</v>
      </c>
      <c r="GK86">
        <v>0</v>
      </c>
      <c r="GL86">
        <f t="shared" si="99"/>
        <v>0</v>
      </c>
      <c r="GM86">
        <f t="shared" si="100"/>
        <v>469.45</v>
      </c>
      <c r="GN86">
        <f t="shared" si="101"/>
        <v>469.45</v>
      </c>
      <c r="GO86">
        <f t="shared" si="102"/>
        <v>0</v>
      </c>
      <c r="GP86">
        <f t="shared" si="103"/>
        <v>0</v>
      </c>
      <c r="GR86">
        <v>0</v>
      </c>
      <c r="GS86">
        <v>3</v>
      </c>
      <c r="GT86">
        <v>0</v>
      </c>
      <c r="GU86" t="s">
        <v>3</v>
      </c>
      <c r="GV86">
        <f t="shared" si="104"/>
        <v>0</v>
      </c>
      <c r="GW86">
        <v>1</v>
      </c>
      <c r="GX86">
        <f t="shared" si="105"/>
        <v>0</v>
      </c>
      <c r="HA86">
        <v>0</v>
      </c>
      <c r="HB86">
        <v>0</v>
      </c>
      <c r="HC86">
        <f t="shared" si="106"/>
        <v>0</v>
      </c>
      <c r="HE86" t="s">
        <v>3</v>
      </c>
      <c r="HF86" t="s">
        <v>3</v>
      </c>
      <c r="IK86">
        <v>0</v>
      </c>
    </row>
    <row r="87" spans="1:245" x14ac:dyDescent="0.2">
      <c r="A87">
        <v>18</v>
      </c>
      <c r="B87">
        <v>1</v>
      </c>
      <c r="C87">
        <v>54</v>
      </c>
      <c r="E87" t="s">
        <v>175</v>
      </c>
      <c r="F87" t="s">
        <v>176</v>
      </c>
      <c r="G87" t="s">
        <v>177</v>
      </c>
      <c r="H87" t="s">
        <v>27</v>
      </c>
      <c r="I87">
        <f>I84*J87</f>
        <v>7.0500000000000011E-4</v>
      </c>
      <c r="J87">
        <v>8.9015151515151516E-3</v>
      </c>
      <c r="O87">
        <f t="shared" si="70"/>
        <v>61.58</v>
      </c>
      <c r="P87">
        <f t="shared" si="71"/>
        <v>61.58</v>
      </c>
      <c r="Q87">
        <f t="shared" si="72"/>
        <v>0</v>
      </c>
      <c r="R87">
        <f t="shared" si="73"/>
        <v>0</v>
      </c>
      <c r="S87">
        <f t="shared" si="74"/>
        <v>0</v>
      </c>
      <c r="T87">
        <f t="shared" si="75"/>
        <v>0</v>
      </c>
      <c r="U87">
        <f t="shared" si="76"/>
        <v>0</v>
      </c>
      <c r="V87">
        <f t="shared" si="77"/>
        <v>0</v>
      </c>
      <c r="W87">
        <f t="shared" si="78"/>
        <v>0</v>
      </c>
      <c r="X87">
        <f t="shared" si="79"/>
        <v>0</v>
      </c>
      <c r="Y87">
        <f t="shared" si="80"/>
        <v>0</v>
      </c>
      <c r="AA87">
        <v>96554872</v>
      </c>
      <c r="AB87">
        <f t="shared" si="81"/>
        <v>11300</v>
      </c>
      <c r="AC87">
        <f t="shared" si="82"/>
        <v>11300</v>
      </c>
      <c r="AD87">
        <f>ROUND((((ET87)-(EU87))+AE87),2)</f>
        <v>0</v>
      </c>
      <c r="AE87">
        <f t="shared" si="107"/>
        <v>0</v>
      </c>
      <c r="AF87">
        <f t="shared" si="107"/>
        <v>0</v>
      </c>
      <c r="AG87">
        <f t="shared" si="84"/>
        <v>0</v>
      </c>
      <c r="AH87">
        <f t="shared" si="108"/>
        <v>0</v>
      </c>
      <c r="AI87">
        <f t="shared" si="108"/>
        <v>0</v>
      </c>
      <c r="AJ87">
        <f t="shared" si="86"/>
        <v>0</v>
      </c>
      <c r="AK87">
        <v>11300</v>
      </c>
      <c r="AL87">
        <v>11300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95</v>
      </c>
      <c r="AU87">
        <v>47</v>
      </c>
      <c r="AV87">
        <v>1</v>
      </c>
      <c r="AW87">
        <v>1</v>
      </c>
      <c r="AZ87">
        <v>7.73</v>
      </c>
      <c r="BA87">
        <v>1</v>
      </c>
      <c r="BB87">
        <v>1</v>
      </c>
      <c r="BC87">
        <v>7.73</v>
      </c>
      <c r="BD87" t="s">
        <v>3</v>
      </c>
      <c r="BE87" t="s">
        <v>3</v>
      </c>
      <c r="BF87" t="s">
        <v>3</v>
      </c>
      <c r="BG87" t="s">
        <v>3</v>
      </c>
      <c r="BH87">
        <v>3</v>
      </c>
      <c r="BI87">
        <v>1</v>
      </c>
      <c r="BJ87" t="s">
        <v>178</v>
      </c>
      <c r="BM87">
        <v>15001</v>
      </c>
      <c r="BN87">
        <v>0</v>
      </c>
      <c r="BO87" t="s">
        <v>20</v>
      </c>
      <c r="BP87">
        <v>1</v>
      </c>
      <c r="BQ87">
        <v>2</v>
      </c>
      <c r="BR87">
        <v>0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105</v>
      </c>
      <c r="CA87">
        <v>55</v>
      </c>
      <c r="CE87">
        <v>0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87"/>
        <v>61.58</v>
      </c>
      <c r="CQ87">
        <f t="shared" si="88"/>
        <v>87349</v>
      </c>
      <c r="CR87">
        <f t="shared" si="89"/>
        <v>0</v>
      </c>
      <c r="CS87">
        <f t="shared" si="90"/>
        <v>0</v>
      </c>
      <c r="CT87">
        <f t="shared" si="91"/>
        <v>0</v>
      </c>
      <c r="CU87">
        <f t="shared" si="92"/>
        <v>0</v>
      </c>
      <c r="CV87">
        <f t="shared" si="93"/>
        <v>0</v>
      </c>
      <c r="CW87">
        <f t="shared" si="94"/>
        <v>0</v>
      </c>
      <c r="CX87">
        <f t="shared" si="95"/>
        <v>0</v>
      </c>
      <c r="CY87">
        <f t="shared" si="96"/>
        <v>0</v>
      </c>
      <c r="CZ87">
        <f t="shared" si="97"/>
        <v>0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U87">
        <v>1009</v>
      </c>
      <c r="DV87" t="s">
        <v>27</v>
      </c>
      <c r="DW87" t="s">
        <v>27</v>
      </c>
      <c r="DX87">
        <v>1000</v>
      </c>
      <c r="DZ87" t="s">
        <v>3</v>
      </c>
      <c r="EA87" t="s">
        <v>3</v>
      </c>
      <c r="EB87" t="s">
        <v>3</v>
      </c>
      <c r="EC87" t="s">
        <v>3</v>
      </c>
      <c r="EE87">
        <v>94243504</v>
      </c>
      <c r="EF87">
        <v>2</v>
      </c>
      <c r="EG87" t="s">
        <v>126</v>
      </c>
      <c r="EH87">
        <v>0</v>
      </c>
      <c r="EI87" t="s">
        <v>3</v>
      </c>
      <c r="EJ87">
        <v>1</v>
      </c>
      <c r="EK87">
        <v>15001</v>
      </c>
      <c r="EL87" t="s">
        <v>163</v>
      </c>
      <c r="EM87" t="s">
        <v>164</v>
      </c>
      <c r="EO87" t="s">
        <v>3</v>
      </c>
      <c r="EQ87">
        <v>0</v>
      </c>
      <c r="ER87">
        <v>11300</v>
      </c>
      <c r="ES87">
        <v>11300</v>
      </c>
      <c r="ET87">
        <v>0</v>
      </c>
      <c r="EU87">
        <v>0</v>
      </c>
      <c r="EV87">
        <v>0</v>
      </c>
      <c r="EW87">
        <v>0</v>
      </c>
      <c r="EX87">
        <v>0</v>
      </c>
      <c r="FQ87">
        <v>0</v>
      </c>
      <c r="FR87">
        <f t="shared" si="98"/>
        <v>0</v>
      </c>
      <c r="FS87">
        <v>0</v>
      </c>
      <c r="FT87" t="s">
        <v>130</v>
      </c>
      <c r="FU87" t="s">
        <v>131</v>
      </c>
      <c r="FX87">
        <v>94.5</v>
      </c>
      <c r="FY87">
        <v>46.75</v>
      </c>
      <c r="GA87" t="s">
        <v>3</v>
      </c>
      <c r="GD87">
        <v>1</v>
      </c>
      <c r="GF87">
        <v>355126645</v>
      </c>
      <c r="GG87">
        <v>1</v>
      </c>
      <c r="GH87">
        <v>1</v>
      </c>
      <c r="GI87">
        <v>4</v>
      </c>
      <c r="GJ87">
        <v>0</v>
      </c>
      <c r="GK87">
        <v>0</v>
      </c>
      <c r="GL87">
        <f t="shared" si="99"/>
        <v>0</v>
      </c>
      <c r="GM87">
        <f t="shared" si="100"/>
        <v>61.58</v>
      </c>
      <c r="GN87">
        <f t="shared" si="101"/>
        <v>61.58</v>
      </c>
      <c r="GO87">
        <f t="shared" si="102"/>
        <v>0</v>
      </c>
      <c r="GP87">
        <f t="shared" si="103"/>
        <v>0</v>
      </c>
      <c r="GR87">
        <v>0</v>
      </c>
      <c r="GS87">
        <v>3</v>
      </c>
      <c r="GT87">
        <v>0</v>
      </c>
      <c r="GU87" t="s">
        <v>3</v>
      </c>
      <c r="GV87">
        <f t="shared" si="104"/>
        <v>0</v>
      </c>
      <c r="GW87">
        <v>1</v>
      </c>
      <c r="GX87">
        <f t="shared" si="105"/>
        <v>0</v>
      </c>
      <c r="HA87">
        <v>0</v>
      </c>
      <c r="HB87">
        <v>0</v>
      </c>
      <c r="HC87">
        <f t="shared" si="106"/>
        <v>0</v>
      </c>
      <c r="HE87" t="s">
        <v>3</v>
      </c>
      <c r="HF87" t="s">
        <v>3</v>
      </c>
      <c r="IK87">
        <v>0</v>
      </c>
    </row>
    <row r="88" spans="1:245" x14ac:dyDescent="0.2">
      <c r="A88">
        <v>17</v>
      </c>
      <c r="B88">
        <v>1</v>
      </c>
      <c r="C88">
        <f>ROW(SmtRes!A65)</f>
        <v>65</v>
      </c>
      <c r="D88">
        <f>ROW(EtalonRes!A66)</f>
        <v>66</v>
      </c>
      <c r="E88" t="s">
        <v>179</v>
      </c>
      <c r="F88" t="s">
        <v>180</v>
      </c>
      <c r="G88" t="s">
        <v>181</v>
      </c>
      <c r="H88" t="s">
        <v>18</v>
      </c>
      <c r="I88">
        <f>ROUND(4/100,4)</f>
        <v>0.04</v>
      </c>
      <c r="J88">
        <v>0</v>
      </c>
      <c r="O88">
        <f t="shared" si="70"/>
        <v>2253.4499999999998</v>
      </c>
      <c r="P88">
        <f t="shared" si="71"/>
        <v>1782.94</v>
      </c>
      <c r="Q88">
        <f t="shared" si="72"/>
        <v>89.59</v>
      </c>
      <c r="R88">
        <f t="shared" si="73"/>
        <v>17.420000000000002</v>
      </c>
      <c r="S88">
        <f t="shared" si="74"/>
        <v>380.92</v>
      </c>
      <c r="T88">
        <f t="shared" si="75"/>
        <v>0</v>
      </c>
      <c r="U88">
        <f t="shared" si="76"/>
        <v>5.6382199999999987</v>
      </c>
      <c r="V88">
        <f t="shared" si="77"/>
        <v>0.19</v>
      </c>
      <c r="W88">
        <f t="shared" si="78"/>
        <v>0</v>
      </c>
      <c r="X88">
        <f t="shared" si="79"/>
        <v>422.24</v>
      </c>
      <c r="Y88">
        <f t="shared" si="80"/>
        <v>215.1</v>
      </c>
      <c r="AA88">
        <v>96554872</v>
      </c>
      <c r="AB88">
        <f t="shared" si="81"/>
        <v>7288</v>
      </c>
      <c r="AC88">
        <f t="shared" si="82"/>
        <v>5766.31</v>
      </c>
      <c r="AD88">
        <f>ROUND(((((ET88*1.25))-((EU88*1.25)))+AE88),2)</f>
        <v>289.74</v>
      </c>
      <c r="AE88">
        <f>ROUND(((EU88*1.25)),2)</f>
        <v>56.34</v>
      </c>
      <c r="AF88">
        <f>ROUND(((EV88*1.15)),2)</f>
        <v>1231.95</v>
      </c>
      <c r="AG88">
        <f t="shared" si="84"/>
        <v>0</v>
      </c>
      <c r="AH88">
        <f>((EW88*1.15))</f>
        <v>140.95549999999997</v>
      </c>
      <c r="AI88">
        <f>((EX88*1.25))</f>
        <v>4.75</v>
      </c>
      <c r="AJ88">
        <f t="shared" si="86"/>
        <v>0</v>
      </c>
      <c r="AK88">
        <v>7069.36</v>
      </c>
      <c r="AL88">
        <v>5766.31</v>
      </c>
      <c r="AM88">
        <v>231.79</v>
      </c>
      <c r="AN88">
        <v>45.07</v>
      </c>
      <c r="AO88">
        <v>1071.26</v>
      </c>
      <c r="AP88">
        <v>0</v>
      </c>
      <c r="AQ88">
        <v>122.57</v>
      </c>
      <c r="AR88">
        <v>3.8</v>
      </c>
      <c r="AS88">
        <v>0</v>
      </c>
      <c r="AT88">
        <v>106</v>
      </c>
      <c r="AU88">
        <v>54</v>
      </c>
      <c r="AV88">
        <v>1</v>
      </c>
      <c r="AW88">
        <v>1</v>
      </c>
      <c r="AZ88">
        <v>7.73</v>
      </c>
      <c r="BA88">
        <v>7.73</v>
      </c>
      <c r="BB88">
        <v>7.73</v>
      </c>
      <c r="BC88">
        <v>7.73</v>
      </c>
      <c r="BD88" t="s">
        <v>3</v>
      </c>
      <c r="BE88" t="s">
        <v>3</v>
      </c>
      <c r="BF88" t="s">
        <v>3</v>
      </c>
      <c r="BG88" t="s">
        <v>3</v>
      </c>
      <c r="BH88">
        <v>0</v>
      </c>
      <c r="BI88">
        <v>1</v>
      </c>
      <c r="BJ88" t="s">
        <v>182</v>
      </c>
      <c r="BM88">
        <v>10001</v>
      </c>
      <c r="BN88">
        <v>0</v>
      </c>
      <c r="BO88" t="s">
        <v>20</v>
      </c>
      <c r="BP88">
        <v>1</v>
      </c>
      <c r="BQ88">
        <v>2</v>
      </c>
      <c r="BR88">
        <v>0</v>
      </c>
      <c r="BS88">
        <v>7.73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118</v>
      </c>
      <c r="CA88">
        <v>63</v>
      </c>
      <c r="CE88">
        <v>0</v>
      </c>
      <c r="CF88">
        <v>0</v>
      </c>
      <c r="CG88">
        <v>0</v>
      </c>
      <c r="CM88">
        <v>0</v>
      </c>
      <c r="CN88" t="s">
        <v>387</v>
      </c>
      <c r="CO88">
        <v>0</v>
      </c>
      <c r="CP88">
        <f t="shared" si="87"/>
        <v>2253.4499999999998</v>
      </c>
      <c r="CQ88">
        <f t="shared" si="88"/>
        <v>44573.576300000008</v>
      </c>
      <c r="CR88">
        <f t="shared" si="89"/>
        <v>2239.6902</v>
      </c>
      <c r="CS88">
        <f t="shared" si="90"/>
        <v>435.50820000000004</v>
      </c>
      <c r="CT88">
        <f t="shared" si="91"/>
        <v>9522.9735000000001</v>
      </c>
      <c r="CU88">
        <f t="shared" si="92"/>
        <v>0</v>
      </c>
      <c r="CV88">
        <f t="shared" si="93"/>
        <v>140.95549999999997</v>
      </c>
      <c r="CW88">
        <f t="shared" si="94"/>
        <v>4.75</v>
      </c>
      <c r="CX88">
        <f t="shared" si="95"/>
        <v>0</v>
      </c>
      <c r="CY88">
        <f t="shared" si="96"/>
        <v>422.24040000000002</v>
      </c>
      <c r="CZ88">
        <f t="shared" si="97"/>
        <v>215.1036</v>
      </c>
      <c r="DC88" t="s">
        <v>3</v>
      </c>
      <c r="DD88" t="s">
        <v>3</v>
      </c>
      <c r="DE88" t="s">
        <v>124</v>
      </c>
      <c r="DF88" t="s">
        <v>124</v>
      </c>
      <c r="DG88" t="s">
        <v>125</v>
      </c>
      <c r="DH88" t="s">
        <v>3</v>
      </c>
      <c r="DI88" t="s">
        <v>125</v>
      </c>
      <c r="DJ88" t="s">
        <v>124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1005</v>
      </c>
      <c r="DV88" t="s">
        <v>18</v>
      </c>
      <c r="DW88" t="s">
        <v>18</v>
      </c>
      <c r="DX88">
        <v>100</v>
      </c>
      <c r="DZ88" t="s">
        <v>3</v>
      </c>
      <c r="EA88" t="s">
        <v>3</v>
      </c>
      <c r="EB88" t="s">
        <v>3</v>
      </c>
      <c r="EC88" t="s">
        <v>3</v>
      </c>
      <c r="EE88">
        <v>94243478</v>
      </c>
      <c r="EF88">
        <v>2</v>
      </c>
      <c r="EG88" t="s">
        <v>126</v>
      </c>
      <c r="EH88">
        <v>0</v>
      </c>
      <c r="EI88" t="s">
        <v>3</v>
      </c>
      <c r="EJ88">
        <v>1</v>
      </c>
      <c r="EK88">
        <v>10001</v>
      </c>
      <c r="EL88" t="s">
        <v>127</v>
      </c>
      <c r="EM88" t="s">
        <v>128</v>
      </c>
      <c r="EO88" t="s">
        <v>129</v>
      </c>
      <c r="EQ88">
        <v>0</v>
      </c>
      <c r="ER88">
        <v>7069.36</v>
      </c>
      <c r="ES88">
        <v>5766.31</v>
      </c>
      <c r="ET88">
        <v>231.79</v>
      </c>
      <c r="EU88">
        <v>45.07</v>
      </c>
      <c r="EV88">
        <v>1071.26</v>
      </c>
      <c r="EW88">
        <v>122.57</v>
      </c>
      <c r="EX88">
        <v>3.8</v>
      </c>
      <c r="EY88">
        <v>0</v>
      </c>
      <c r="FQ88">
        <v>0</v>
      </c>
      <c r="FR88">
        <f t="shared" si="98"/>
        <v>0</v>
      </c>
      <c r="FS88">
        <v>0</v>
      </c>
      <c r="FT88" t="s">
        <v>130</v>
      </c>
      <c r="FU88" t="s">
        <v>131</v>
      </c>
      <c r="FX88">
        <v>106.2</v>
      </c>
      <c r="FY88">
        <v>53.55</v>
      </c>
      <c r="GA88" t="s">
        <v>3</v>
      </c>
      <c r="GD88">
        <v>1</v>
      </c>
      <c r="GF88">
        <v>274974357</v>
      </c>
      <c r="GG88">
        <v>1</v>
      </c>
      <c r="GH88">
        <v>1</v>
      </c>
      <c r="GI88">
        <v>4</v>
      </c>
      <c r="GJ88">
        <v>0</v>
      </c>
      <c r="GK88">
        <v>0</v>
      </c>
      <c r="GL88">
        <f t="shared" si="99"/>
        <v>0</v>
      </c>
      <c r="GM88">
        <f t="shared" si="100"/>
        <v>2890.79</v>
      </c>
      <c r="GN88">
        <f t="shared" si="101"/>
        <v>2890.79</v>
      </c>
      <c r="GO88">
        <f t="shared" si="102"/>
        <v>0</v>
      </c>
      <c r="GP88">
        <f t="shared" si="103"/>
        <v>0</v>
      </c>
      <c r="GR88">
        <v>0</v>
      </c>
      <c r="GS88">
        <v>3</v>
      </c>
      <c r="GT88">
        <v>0</v>
      </c>
      <c r="GU88" t="s">
        <v>3</v>
      </c>
      <c r="GV88">
        <f t="shared" si="104"/>
        <v>0</v>
      </c>
      <c r="GW88">
        <v>1</v>
      </c>
      <c r="GX88">
        <f t="shared" si="105"/>
        <v>0</v>
      </c>
      <c r="HA88">
        <v>0</v>
      </c>
      <c r="HB88">
        <v>0</v>
      </c>
      <c r="HC88">
        <f t="shared" si="106"/>
        <v>0</v>
      </c>
      <c r="HE88" t="s">
        <v>3</v>
      </c>
      <c r="HF88" t="s">
        <v>3</v>
      </c>
      <c r="IK88">
        <v>0</v>
      </c>
    </row>
    <row r="89" spans="1:245" x14ac:dyDescent="0.2">
      <c r="A89">
        <v>18</v>
      </c>
      <c r="B89">
        <v>1</v>
      </c>
      <c r="C89">
        <v>63</v>
      </c>
      <c r="E89" t="s">
        <v>183</v>
      </c>
      <c r="F89" t="s">
        <v>184</v>
      </c>
      <c r="G89" t="s">
        <v>185</v>
      </c>
      <c r="H89" t="s">
        <v>134</v>
      </c>
      <c r="I89">
        <f>I88*J89</f>
        <v>4</v>
      </c>
      <c r="J89">
        <v>100</v>
      </c>
      <c r="O89">
        <f t="shared" si="70"/>
        <v>44326.6</v>
      </c>
      <c r="P89">
        <f t="shared" si="71"/>
        <v>44326.6</v>
      </c>
      <c r="Q89">
        <f t="shared" si="72"/>
        <v>0</v>
      </c>
      <c r="R89">
        <f t="shared" si="73"/>
        <v>0</v>
      </c>
      <c r="S89">
        <f t="shared" si="74"/>
        <v>0</v>
      </c>
      <c r="T89">
        <f t="shared" si="75"/>
        <v>0</v>
      </c>
      <c r="U89">
        <f t="shared" si="76"/>
        <v>0</v>
      </c>
      <c r="V89">
        <f t="shared" si="77"/>
        <v>0</v>
      </c>
      <c r="W89">
        <f t="shared" si="78"/>
        <v>0</v>
      </c>
      <c r="X89">
        <f t="shared" si="79"/>
        <v>0</v>
      </c>
      <c r="Y89">
        <f t="shared" si="80"/>
        <v>0</v>
      </c>
      <c r="AA89">
        <v>96554872</v>
      </c>
      <c r="AB89">
        <f t="shared" si="81"/>
        <v>1433.59</v>
      </c>
      <c r="AC89">
        <f t="shared" si="82"/>
        <v>1433.59</v>
      </c>
      <c r="AD89">
        <f>ROUND((((ET89)-(EU89))+AE89),2)</f>
        <v>0</v>
      </c>
      <c r="AE89">
        <f>ROUND((EU89),2)</f>
        <v>0</v>
      </c>
      <c r="AF89">
        <f>ROUND((EV89),2)</f>
        <v>0</v>
      </c>
      <c r="AG89">
        <f t="shared" si="84"/>
        <v>0</v>
      </c>
      <c r="AH89">
        <f>(EW89)</f>
        <v>0</v>
      </c>
      <c r="AI89">
        <f>(EX89)</f>
        <v>0</v>
      </c>
      <c r="AJ89">
        <f t="shared" si="86"/>
        <v>0</v>
      </c>
      <c r="AK89">
        <v>1433.59</v>
      </c>
      <c r="AL89">
        <v>1433.59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106</v>
      </c>
      <c r="AU89">
        <v>54</v>
      </c>
      <c r="AV89">
        <v>1</v>
      </c>
      <c r="AW89">
        <v>1</v>
      </c>
      <c r="AZ89">
        <v>7.73</v>
      </c>
      <c r="BA89">
        <v>1</v>
      </c>
      <c r="BB89">
        <v>1</v>
      </c>
      <c r="BC89">
        <v>7.73</v>
      </c>
      <c r="BD89" t="s">
        <v>3</v>
      </c>
      <c r="BE89" t="s">
        <v>3</v>
      </c>
      <c r="BF89" t="s">
        <v>3</v>
      </c>
      <c r="BG89" t="s">
        <v>3</v>
      </c>
      <c r="BH89">
        <v>3</v>
      </c>
      <c r="BI89">
        <v>1</v>
      </c>
      <c r="BJ89" t="s">
        <v>186</v>
      </c>
      <c r="BM89">
        <v>10001</v>
      </c>
      <c r="BN89">
        <v>0</v>
      </c>
      <c r="BO89" t="s">
        <v>20</v>
      </c>
      <c r="BP89">
        <v>1</v>
      </c>
      <c r="BQ89">
        <v>2</v>
      </c>
      <c r="BR89">
        <v>0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118</v>
      </c>
      <c r="CA89">
        <v>63</v>
      </c>
      <c r="CE89">
        <v>0</v>
      </c>
      <c r="CF89">
        <v>0</v>
      </c>
      <c r="CG89">
        <v>0</v>
      </c>
      <c r="CM89">
        <v>0</v>
      </c>
      <c r="CN89" t="s">
        <v>3</v>
      </c>
      <c r="CO89">
        <v>0</v>
      </c>
      <c r="CP89">
        <f t="shared" si="87"/>
        <v>44326.6</v>
      </c>
      <c r="CQ89">
        <f t="shared" si="88"/>
        <v>11081.6507</v>
      </c>
      <c r="CR89">
        <f t="shared" si="89"/>
        <v>0</v>
      </c>
      <c r="CS89">
        <f t="shared" si="90"/>
        <v>0</v>
      </c>
      <c r="CT89">
        <f t="shared" si="91"/>
        <v>0</v>
      </c>
      <c r="CU89">
        <f t="shared" si="92"/>
        <v>0</v>
      </c>
      <c r="CV89">
        <f t="shared" si="93"/>
        <v>0</v>
      </c>
      <c r="CW89">
        <f t="shared" si="94"/>
        <v>0</v>
      </c>
      <c r="CX89">
        <f t="shared" si="95"/>
        <v>0</v>
      </c>
      <c r="CY89">
        <f t="shared" si="96"/>
        <v>0</v>
      </c>
      <c r="CZ89">
        <f t="shared" si="97"/>
        <v>0</v>
      </c>
      <c r="DC89" t="s">
        <v>3</v>
      </c>
      <c r="DD89" t="s">
        <v>3</v>
      </c>
      <c r="DE89" t="s">
        <v>3</v>
      </c>
      <c r="DF89" t="s">
        <v>3</v>
      </c>
      <c r="DG89" t="s">
        <v>3</v>
      </c>
      <c r="DH89" t="s">
        <v>3</v>
      </c>
      <c r="DI89" t="s">
        <v>3</v>
      </c>
      <c r="DJ89" t="s">
        <v>3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1005</v>
      </c>
      <c r="DV89" t="s">
        <v>134</v>
      </c>
      <c r="DW89" t="s">
        <v>134</v>
      </c>
      <c r="DX89">
        <v>1</v>
      </c>
      <c r="DZ89" t="s">
        <v>3</v>
      </c>
      <c r="EA89" t="s">
        <v>3</v>
      </c>
      <c r="EB89" t="s">
        <v>3</v>
      </c>
      <c r="EC89" t="s">
        <v>3</v>
      </c>
      <c r="EE89">
        <v>94243478</v>
      </c>
      <c r="EF89">
        <v>2</v>
      </c>
      <c r="EG89" t="s">
        <v>126</v>
      </c>
      <c r="EH89">
        <v>0</v>
      </c>
      <c r="EI89" t="s">
        <v>3</v>
      </c>
      <c r="EJ89">
        <v>1</v>
      </c>
      <c r="EK89">
        <v>10001</v>
      </c>
      <c r="EL89" t="s">
        <v>127</v>
      </c>
      <c r="EM89" t="s">
        <v>128</v>
      </c>
      <c r="EO89" t="s">
        <v>3</v>
      </c>
      <c r="EQ89">
        <v>0</v>
      </c>
      <c r="ER89">
        <v>1433.59</v>
      </c>
      <c r="ES89">
        <v>1433.59</v>
      </c>
      <c r="ET89">
        <v>0</v>
      </c>
      <c r="EU89">
        <v>0</v>
      </c>
      <c r="EV89">
        <v>0</v>
      </c>
      <c r="EW89">
        <v>0</v>
      </c>
      <c r="EX89">
        <v>0</v>
      </c>
      <c r="FQ89">
        <v>0</v>
      </c>
      <c r="FR89">
        <f t="shared" si="98"/>
        <v>0</v>
      </c>
      <c r="FS89">
        <v>0</v>
      </c>
      <c r="FT89" t="s">
        <v>130</v>
      </c>
      <c r="FU89" t="s">
        <v>131</v>
      </c>
      <c r="FX89">
        <v>106.2</v>
      </c>
      <c r="FY89">
        <v>53.55</v>
      </c>
      <c r="GA89" t="s">
        <v>3</v>
      </c>
      <c r="GD89">
        <v>1</v>
      </c>
      <c r="GF89">
        <v>-257655656</v>
      </c>
      <c r="GG89">
        <v>1</v>
      </c>
      <c r="GH89">
        <v>1</v>
      </c>
      <c r="GI89">
        <v>4</v>
      </c>
      <c r="GJ89">
        <v>0</v>
      </c>
      <c r="GK89">
        <v>0</v>
      </c>
      <c r="GL89">
        <f t="shared" si="99"/>
        <v>0</v>
      </c>
      <c r="GM89">
        <f t="shared" si="100"/>
        <v>44326.6</v>
      </c>
      <c r="GN89">
        <f t="shared" si="101"/>
        <v>44326.6</v>
      </c>
      <c r="GO89">
        <f t="shared" si="102"/>
        <v>0</v>
      </c>
      <c r="GP89">
        <f t="shared" si="103"/>
        <v>0</v>
      </c>
      <c r="GR89">
        <v>0</v>
      </c>
      <c r="GS89">
        <v>3</v>
      </c>
      <c r="GT89">
        <v>0</v>
      </c>
      <c r="GU89" t="s">
        <v>3</v>
      </c>
      <c r="GV89">
        <f t="shared" si="104"/>
        <v>0</v>
      </c>
      <c r="GW89">
        <v>1</v>
      </c>
      <c r="GX89">
        <f t="shared" si="105"/>
        <v>0</v>
      </c>
      <c r="HA89">
        <v>0</v>
      </c>
      <c r="HB89">
        <v>0</v>
      </c>
      <c r="HC89">
        <f t="shared" si="106"/>
        <v>0</v>
      </c>
      <c r="HE89" t="s">
        <v>3</v>
      </c>
      <c r="HF89" t="s">
        <v>3</v>
      </c>
      <c r="IK89">
        <v>0</v>
      </c>
    </row>
    <row r="90" spans="1:245" x14ac:dyDescent="0.2">
      <c r="A90">
        <v>17</v>
      </c>
      <c r="B90">
        <v>1</v>
      </c>
      <c r="C90">
        <f>ROW(SmtRes!A74)</f>
        <v>74</v>
      </c>
      <c r="D90">
        <f>ROW(EtalonRes!A75)</f>
        <v>75</v>
      </c>
      <c r="E90" t="s">
        <v>187</v>
      </c>
      <c r="F90" t="s">
        <v>188</v>
      </c>
      <c r="G90" t="s">
        <v>189</v>
      </c>
      <c r="H90" t="s">
        <v>134</v>
      </c>
      <c r="I90">
        <f>ROUND(17.3,4)</f>
        <v>17.3</v>
      </c>
      <c r="J90">
        <v>0</v>
      </c>
      <c r="O90">
        <f t="shared" si="70"/>
        <v>9509.4699999999993</v>
      </c>
      <c r="P90">
        <f t="shared" si="71"/>
        <v>3439.51</v>
      </c>
      <c r="Q90">
        <f t="shared" si="72"/>
        <v>2408.46</v>
      </c>
      <c r="R90">
        <f t="shared" si="73"/>
        <v>328.97</v>
      </c>
      <c r="S90">
        <f t="shared" si="74"/>
        <v>3661.5</v>
      </c>
      <c r="T90">
        <f t="shared" si="75"/>
        <v>0</v>
      </c>
      <c r="U90">
        <f t="shared" si="76"/>
        <v>47.747999999999998</v>
      </c>
      <c r="V90">
        <f t="shared" si="77"/>
        <v>3.6762500000000005</v>
      </c>
      <c r="W90">
        <f t="shared" si="78"/>
        <v>0</v>
      </c>
      <c r="X90">
        <f t="shared" si="79"/>
        <v>3232.28</v>
      </c>
      <c r="Y90">
        <f t="shared" si="80"/>
        <v>2873.14</v>
      </c>
      <c r="AA90">
        <v>96554872</v>
      </c>
      <c r="AB90">
        <f t="shared" si="81"/>
        <v>71.11</v>
      </c>
      <c r="AC90">
        <f t="shared" si="82"/>
        <v>25.72</v>
      </c>
      <c r="AD90">
        <f>ROUND(((((ET90*1.25))-((EU90*1.25)))+AE90),2)</f>
        <v>18.010000000000002</v>
      </c>
      <c r="AE90">
        <f>ROUND(((EU90*1.25)),2)</f>
        <v>2.46</v>
      </c>
      <c r="AF90">
        <f>ROUND(((EV90*1.15)),2)</f>
        <v>27.38</v>
      </c>
      <c r="AG90">
        <f t="shared" si="84"/>
        <v>0</v>
      </c>
      <c r="AH90">
        <f>((EW90*1.15))</f>
        <v>2.76</v>
      </c>
      <c r="AI90">
        <f>((EX90*1.25))</f>
        <v>0.21250000000000002</v>
      </c>
      <c r="AJ90">
        <f t="shared" si="86"/>
        <v>0</v>
      </c>
      <c r="AK90">
        <v>63.94</v>
      </c>
      <c r="AL90">
        <v>25.72</v>
      </c>
      <c r="AM90">
        <v>14.41</v>
      </c>
      <c r="AN90">
        <v>1.97</v>
      </c>
      <c r="AO90">
        <v>23.81</v>
      </c>
      <c r="AP90">
        <v>0</v>
      </c>
      <c r="AQ90">
        <v>2.4</v>
      </c>
      <c r="AR90">
        <v>0.17</v>
      </c>
      <c r="AS90">
        <v>0</v>
      </c>
      <c r="AT90">
        <v>81</v>
      </c>
      <c r="AU90">
        <v>72</v>
      </c>
      <c r="AV90">
        <v>1</v>
      </c>
      <c r="AW90">
        <v>1</v>
      </c>
      <c r="AZ90">
        <v>7.73</v>
      </c>
      <c r="BA90">
        <v>7.73</v>
      </c>
      <c r="BB90">
        <v>7.73</v>
      </c>
      <c r="BC90">
        <v>7.73</v>
      </c>
      <c r="BD90" t="s">
        <v>3</v>
      </c>
      <c r="BE90" t="s">
        <v>3</v>
      </c>
      <c r="BF90" t="s">
        <v>3</v>
      </c>
      <c r="BG90" t="s">
        <v>3</v>
      </c>
      <c r="BH90">
        <v>0</v>
      </c>
      <c r="BI90">
        <v>1</v>
      </c>
      <c r="BJ90" t="s">
        <v>190</v>
      </c>
      <c r="BM90">
        <v>9001</v>
      </c>
      <c r="BN90">
        <v>0</v>
      </c>
      <c r="BO90" t="s">
        <v>20</v>
      </c>
      <c r="BP90">
        <v>1</v>
      </c>
      <c r="BQ90">
        <v>2</v>
      </c>
      <c r="BR90">
        <v>0</v>
      </c>
      <c r="BS90">
        <v>7.73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90</v>
      </c>
      <c r="CA90">
        <v>85</v>
      </c>
      <c r="CE90">
        <v>0</v>
      </c>
      <c r="CF90">
        <v>0</v>
      </c>
      <c r="CG90">
        <v>0</v>
      </c>
      <c r="CM90">
        <v>0</v>
      </c>
      <c r="CN90" t="s">
        <v>387</v>
      </c>
      <c r="CO90">
        <v>0</v>
      </c>
      <c r="CP90">
        <f t="shared" si="87"/>
        <v>9509.4700000000012</v>
      </c>
      <c r="CQ90">
        <f t="shared" si="88"/>
        <v>198.81559999999999</v>
      </c>
      <c r="CR90">
        <f t="shared" si="89"/>
        <v>139.21730000000002</v>
      </c>
      <c r="CS90">
        <f t="shared" si="90"/>
        <v>19.015800000000002</v>
      </c>
      <c r="CT90">
        <f t="shared" si="91"/>
        <v>211.6474</v>
      </c>
      <c r="CU90">
        <f t="shared" si="92"/>
        <v>0</v>
      </c>
      <c r="CV90">
        <f t="shared" si="93"/>
        <v>2.76</v>
      </c>
      <c r="CW90">
        <f t="shared" si="94"/>
        <v>0.21250000000000002</v>
      </c>
      <c r="CX90">
        <f t="shared" si="95"/>
        <v>0</v>
      </c>
      <c r="CY90">
        <f t="shared" si="96"/>
        <v>3232.2807000000003</v>
      </c>
      <c r="CZ90">
        <f t="shared" si="97"/>
        <v>2873.1384000000003</v>
      </c>
      <c r="DC90" t="s">
        <v>3</v>
      </c>
      <c r="DD90" t="s">
        <v>3</v>
      </c>
      <c r="DE90" t="s">
        <v>124</v>
      </c>
      <c r="DF90" t="s">
        <v>124</v>
      </c>
      <c r="DG90" t="s">
        <v>125</v>
      </c>
      <c r="DH90" t="s">
        <v>3</v>
      </c>
      <c r="DI90" t="s">
        <v>125</v>
      </c>
      <c r="DJ90" t="s">
        <v>124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1005</v>
      </c>
      <c r="DV90" t="s">
        <v>134</v>
      </c>
      <c r="DW90" t="s">
        <v>134</v>
      </c>
      <c r="DX90">
        <v>1</v>
      </c>
      <c r="DZ90" t="s">
        <v>3</v>
      </c>
      <c r="EA90" t="s">
        <v>3</v>
      </c>
      <c r="EB90" t="s">
        <v>3</v>
      </c>
      <c r="EC90" t="s">
        <v>3</v>
      </c>
      <c r="EE90">
        <v>94243477</v>
      </c>
      <c r="EF90">
        <v>2</v>
      </c>
      <c r="EG90" t="s">
        <v>126</v>
      </c>
      <c r="EH90">
        <v>0</v>
      </c>
      <c r="EI90" t="s">
        <v>3</v>
      </c>
      <c r="EJ90">
        <v>1</v>
      </c>
      <c r="EK90">
        <v>9001</v>
      </c>
      <c r="EL90" t="s">
        <v>191</v>
      </c>
      <c r="EM90" t="s">
        <v>192</v>
      </c>
      <c r="EO90" t="s">
        <v>129</v>
      </c>
      <c r="EQ90">
        <v>0</v>
      </c>
      <c r="ER90">
        <v>63.94</v>
      </c>
      <c r="ES90">
        <v>25.72</v>
      </c>
      <c r="ET90">
        <v>14.41</v>
      </c>
      <c r="EU90">
        <v>1.97</v>
      </c>
      <c r="EV90">
        <v>23.81</v>
      </c>
      <c r="EW90">
        <v>2.4</v>
      </c>
      <c r="EX90">
        <v>0.17</v>
      </c>
      <c r="EY90">
        <v>0</v>
      </c>
      <c r="FQ90">
        <v>0</v>
      </c>
      <c r="FR90">
        <f t="shared" si="98"/>
        <v>0</v>
      </c>
      <c r="FS90">
        <v>0</v>
      </c>
      <c r="FT90" t="s">
        <v>130</v>
      </c>
      <c r="FU90" t="s">
        <v>131</v>
      </c>
      <c r="FX90">
        <v>81</v>
      </c>
      <c r="FY90">
        <v>72.25</v>
      </c>
      <c r="GA90" t="s">
        <v>3</v>
      </c>
      <c r="GD90">
        <v>1</v>
      </c>
      <c r="GF90">
        <v>-1719720611</v>
      </c>
      <c r="GG90">
        <v>1</v>
      </c>
      <c r="GH90">
        <v>1</v>
      </c>
      <c r="GI90">
        <v>4</v>
      </c>
      <c r="GJ90">
        <v>0</v>
      </c>
      <c r="GK90">
        <v>0</v>
      </c>
      <c r="GL90">
        <f t="shared" si="99"/>
        <v>0</v>
      </c>
      <c r="GM90">
        <f t="shared" si="100"/>
        <v>15614.89</v>
      </c>
      <c r="GN90">
        <f t="shared" si="101"/>
        <v>15614.89</v>
      </c>
      <c r="GO90">
        <f t="shared" si="102"/>
        <v>0</v>
      </c>
      <c r="GP90">
        <f t="shared" si="103"/>
        <v>0</v>
      </c>
      <c r="GR90">
        <v>0</v>
      </c>
      <c r="GS90">
        <v>3</v>
      </c>
      <c r="GT90">
        <v>0</v>
      </c>
      <c r="GU90" t="s">
        <v>3</v>
      </c>
      <c r="GV90">
        <f t="shared" si="104"/>
        <v>0</v>
      </c>
      <c r="GW90">
        <v>1</v>
      </c>
      <c r="GX90">
        <f t="shared" si="105"/>
        <v>0</v>
      </c>
      <c r="HA90">
        <v>0</v>
      </c>
      <c r="HB90">
        <v>0</v>
      </c>
      <c r="HC90">
        <f t="shared" si="106"/>
        <v>0</v>
      </c>
      <c r="HE90" t="s">
        <v>3</v>
      </c>
      <c r="HF90" t="s">
        <v>3</v>
      </c>
      <c r="IK90">
        <v>0</v>
      </c>
    </row>
    <row r="91" spans="1:245" x14ac:dyDescent="0.2">
      <c r="A91">
        <v>18</v>
      </c>
      <c r="B91">
        <v>1</v>
      </c>
      <c r="C91">
        <v>70</v>
      </c>
      <c r="E91" t="s">
        <v>193</v>
      </c>
      <c r="F91" t="s">
        <v>194</v>
      </c>
      <c r="G91" t="s">
        <v>195</v>
      </c>
      <c r="H91" t="s">
        <v>196</v>
      </c>
      <c r="I91">
        <f>I90*J91</f>
        <v>2</v>
      </c>
      <c r="J91">
        <v>0.11560693641618497</v>
      </c>
      <c r="O91">
        <f t="shared" si="70"/>
        <v>3722.61</v>
      </c>
      <c r="P91">
        <f t="shared" si="71"/>
        <v>3722.61</v>
      </c>
      <c r="Q91">
        <f t="shared" si="72"/>
        <v>0</v>
      </c>
      <c r="R91">
        <f t="shared" si="73"/>
        <v>0</v>
      </c>
      <c r="S91">
        <f t="shared" si="74"/>
        <v>0</v>
      </c>
      <c r="T91">
        <f t="shared" si="75"/>
        <v>0</v>
      </c>
      <c r="U91">
        <f t="shared" si="76"/>
        <v>0</v>
      </c>
      <c r="V91">
        <f t="shared" si="77"/>
        <v>0</v>
      </c>
      <c r="W91">
        <f t="shared" si="78"/>
        <v>0</v>
      </c>
      <c r="X91">
        <f t="shared" si="79"/>
        <v>0</v>
      </c>
      <c r="Y91">
        <f t="shared" si="80"/>
        <v>0</v>
      </c>
      <c r="AA91">
        <v>96554872</v>
      </c>
      <c r="AB91">
        <f t="shared" si="81"/>
        <v>240.79</v>
      </c>
      <c r="AC91">
        <f t="shared" si="82"/>
        <v>240.79</v>
      </c>
      <c r="AD91">
        <f>ROUND((((ET91)-(EU91))+AE91),2)</f>
        <v>0</v>
      </c>
      <c r="AE91">
        <f>ROUND((EU91),2)</f>
        <v>0</v>
      </c>
      <c r="AF91">
        <f>ROUND((EV91),2)</f>
        <v>0</v>
      </c>
      <c r="AG91">
        <f t="shared" si="84"/>
        <v>0</v>
      </c>
      <c r="AH91">
        <f>(EW91)</f>
        <v>0</v>
      </c>
      <c r="AI91">
        <f>(EX91)</f>
        <v>0</v>
      </c>
      <c r="AJ91">
        <f t="shared" si="86"/>
        <v>0</v>
      </c>
      <c r="AK91">
        <v>240.79</v>
      </c>
      <c r="AL91">
        <v>240.79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81</v>
      </c>
      <c r="AU91">
        <v>72</v>
      </c>
      <c r="AV91">
        <v>1</v>
      </c>
      <c r="AW91">
        <v>1</v>
      </c>
      <c r="AZ91">
        <v>7.73</v>
      </c>
      <c r="BA91">
        <v>1</v>
      </c>
      <c r="BB91">
        <v>1</v>
      </c>
      <c r="BC91">
        <v>7.73</v>
      </c>
      <c r="BD91" t="s">
        <v>3</v>
      </c>
      <c r="BE91" t="s">
        <v>3</v>
      </c>
      <c r="BF91" t="s">
        <v>3</v>
      </c>
      <c r="BG91" t="s">
        <v>3</v>
      </c>
      <c r="BH91">
        <v>3</v>
      </c>
      <c r="BI91">
        <v>1</v>
      </c>
      <c r="BJ91" t="s">
        <v>197</v>
      </c>
      <c r="BM91">
        <v>9001</v>
      </c>
      <c r="BN91">
        <v>0</v>
      </c>
      <c r="BO91" t="s">
        <v>20</v>
      </c>
      <c r="BP91">
        <v>1</v>
      </c>
      <c r="BQ91">
        <v>2</v>
      </c>
      <c r="BR91">
        <v>0</v>
      </c>
      <c r="BS91">
        <v>1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90</v>
      </c>
      <c r="CA91">
        <v>85</v>
      </c>
      <c r="CE91">
        <v>0</v>
      </c>
      <c r="CF91">
        <v>0</v>
      </c>
      <c r="CG91">
        <v>0</v>
      </c>
      <c r="CM91">
        <v>0</v>
      </c>
      <c r="CN91" t="s">
        <v>3</v>
      </c>
      <c r="CO91">
        <v>0</v>
      </c>
      <c r="CP91">
        <f t="shared" si="87"/>
        <v>3722.61</v>
      </c>
      <c r="CQ91">
        <f t="shared" si="88"/>
        <v>1861.3067000000001</v>
      </c>
      <c r="CR91">
        <f t="shared" si="89"/>
        <v>0</v>
      </c>
      <c r="CS91">
        <f t="shared" si="90"/>
        <v>0</v>
      </c>
      <c r="CT91">
        <f t="shared" si="91"/>
        <v>0</v>
      </c>
      <c r="CU91">
        <f t="shared" si="92"/>
        <v>0</v>
      </c>
      <c r="CV91">
        <f t="shared" si="93"/>
        <v>0</v>
      </c>
      <c r="CW91">
        <f t="shared" si="94"/>
        <v>0</v>
      </c>
      <c r="CX91">
        <f t="shared" si="95"/>
        <v>0</v>
      </c>
      <c r="CY91">
        <f t="shared" si="96"/>
        <v>0</v>
      </c>
      <c r="CZ91">
        <f t="shared" si="97"/>
        <v>0</v>
      </c>
      <c r="DC91" t="s">
        <v>3</v>
      </c>
      <c r="DD91" t="s">
        <v>3</v>
      </c>
      <c r="DE91" t="s">
        <v>3</v>
      </c>
      <c r="DF91" t="s">
        <v>3</v>
      </c>
      <c r="DG91" t="s">
        <v>3</v>
      </c>
      <c r="DH91" t="s">
        <v>3</v>
      </c>
      <c r="DI91" t="s">
        <v>3</v>
      </c>
      <c r="DJ91" t="s">
        <v>3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1013</v>
      </c>
      <c r="DV91" t="s">
        <v>196</v>
      </c>
      <c r="DW91" t="s">
        <v>196</v>
      </c>
      <c r="DX91">
        <v>1</v>
      </c>
      <c r="DZ91" t="s">
        <v>3</v>
      </c>
      <c r="EA91" t="s">
        <v>3</v>
      </c>
      <c r="EB91" t="s">
        <v>3</v>
      </c>
      <c r="EC91" t="s">
        <v>3</v>
      </c>
      <c r="EE91">
        <v>94243477</v>
      </c>
      <c r="EF91">
        <v>2</v>
      </c>
      <c r="EG91" t="s">
        <v>126</v>
      </c>
      <c r="EH91">
        <v>0</v>
      </c>
      <c r="EI91" t="s">
        <v>3</v>
      </c>
      <c r="EJ91">
        <v>1</v>
      </c>
      <c r="EK91">
        <v>9001</v>
      </c>
      <c r="EL91" t="s">
        <v>191</v>
      </c>
      <c r="EM91" t="s">
        <v>192</v>
      </c>
      <c r="EO91" t="s">
        <v>3</v>
      </c>
      <c r="EQ91">
        <v>0</v>
      </c>
      <c r="ER91">
        <v>240.79</v>
      </c>
      <c r="ES91">
        <v>240.79</v>
      </c>
      <c r="ET91">
        <v>0</v>
      </c>
      <c r="EU91">
        <v>0</v>
      </c>
      <c r="EV91">
        <v>0</v>
      </c>
      <c r="EW91">
        <v>0</v>
      </c>
      <c r="EX91">
        <v>0</v>
      </c>
      <c r="FQ91">
        <v>0</v>
      </c>
      <c r="FR91">
        <f t="shared" si="98"/>
        <v>0</v>
      </c>
      <c r="FS91">
        <v>0</v>
      </c>
      <c r="FT91" t="s">
        <v>130</v>
      </c>
      <c r="FU91" t="s">
        <v>131</v>
      </c>
      <c r="FX91">
        <v>81</v>
      </c>
      <c r="FY91">
        <v>72.25</v>
      </c>
      <c r="GA91" t="s">
        <v>3</v>
      </c>
      <c r="GD91">
        <v>1</v>
      </c>
      <c r="GF91">
        <v>1221351796</v>
      </c>
      <c r="GG91">
        <v>1</v>
      </c>
      <c r="GH91">
        <v>1</v>
      </c>
      <c r="GI91">
        <v>4</v>
      </c>
      <c r="GJ91">
        <v>0</v>
      </c>
      <c r="GK91">
        <v>0</v>
      </c>
      <c r="GL91">
        <f t="shared" si="99"/>
        <v>0</v>
      </c>
      <c r="GM91">
        <f t="shared" si="100"/>
        <v>3722.61</v>
      </c>
      <c r="GN91">
        <f t="shared" si="101"/>
        <v>3722.61</v>
      </c>
      <c r="GO91">
        <f t="shared" si="102"/>
        <v>0</v>
      </c>
      <c r="GP91">
        <f t="shared" si="103"/>
        <v>0</v>
      </c>
      <c r="GR91">
        <v>0</v>
      </c>
      <c r="GS91">
        <v>3</v>
      </c>
      <c r="GT91">
        <v>0</v>
      </c>
      <c r="GU91" t="s">
        <v>3</v>
      </c>
      <c r="GV91">
        <f t="shared" si="104"/>
        <v>0</v>
      </c>
      <c r="GW91">
        <v>1</v>
      </c>
      <c r="GX91">
        <f t="shared" si="105"/>
        <v>0</v>
      </c>
      <c r="HA91">
        <v>0</v>
      </c>
      <c r="HB91">
        <v>0</v>
      </c>
      <c r="HC91">
        <f t="shared" si="106"/>
        <v>0</v>
      </c>
      <c r="HE91" t="s">
        <v>3</v>
      </c>
      <c r="HF91" t="s">
        <v>3</v>
      </c>
      <c r="IK91">
        <v>0</v>
      </c>
    </row>
    <row r="92" spans="1:245" x14ac:dyDescent="0.2">
      <c r="A92">
        <v>18</v>
      </c>
      <c r="B92">
        <v>1</v>
      </c>
      <c r="C92">
        <v>73</v>
      </c>
      <c r="E92" t="s">
        <v>198</v>
      </c>
      <c r="F92" t="s">
        <v>199</v>
      </c>
      <c r="G92" t="s">
        <v>200</v>
      </c>
      <c r="H92" t="s">
        <v>134</v>
      </c>
      <c r="I92">
        <f>I90*J92</f>
        <v>17.3</v>
      </c>
      <c r="J92">
        <v>1</v>
      </c>
      <c r="O92">
        <f t="shared" si="70"/>
        <v>112470.1</v>
      </c>
      <c r="P92">
        <f t="shared" si="71"/>
        <v>112470.1</v>
      </c>
      <c r="Q92">
        <f t="shared" si="72"/>
        <v>0</v>
      </c>
      <c r="R92">
        <f t="shared" si="73"/>
        <v>0</v>
      </c>
      <c r="S92">
        <f t="shared" si="74"/>
        <v>0</v>
      </c>
      <c r="T92">
        <f t="shared" si="75"/>
        <v>0</v>
      </c>
      <c r="U92">
        <f t="shared" si="76"/>
        <v>0</v>
      </c>
      <c r="V92">
        <f t="shared" si="77"/>
        <v>0</v>
      </c>
      <c r="W92">
        <f t="shared" si="78"/>
        <v>0</v>
      </c>
      <c r="X92">
        <f t="shared" si="79"/>
        <v>0</v>
      </c>
      <c r="Y92">
        <f t="shared" si="80"/>
        <v>0</v>
      </c>
      <c r="AA92">
        <v>96554872</v>
      </c>
      <c r="AB92">
        <f t="shared" si="81"/>
        <v>841.03</v>
      </c>
      <c r="AC92">
        <f t="shared" si="82"/>
        <v>841.03</v>
      </c>
      <c r="AD92">
        <f>ROUND((((ET92)-(EU92))+AE92),2)</f>
        <v>0</v>
      </c>
      <c r="AE92">
        <f>ROUND((EU92),2)</f>
        <v>0</v>
      </c>
      <c r="AF92">
        <f>ROUND((EV92),2)</f>
        <v>0</v>
      </c>
      <c r="AG92">
        <f t="shared" si="84"/>
        <v>0</v>
      </c>
      <c r="AH92">
        <f>(EW92)</f>
        <v>0</v>
      </c>
      <c r="AI92">
        <f>(EX92)</f>
        <v>0</v>
      </c>
      <c r="AJ92">
        <f t="shared" si="86"/>
        <v>0</v>
      </c>
      <c r="AK92">
        <v>841.03</v>
      </c>
      <c r="AL92">
        <v>841.03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81</v>
      </c>
      <c r="AU92">
        <v>72</v>
      </c>
      <c r="AV92">
        <v>1</v>
      </c>
      <c r="AW92">
        <v>1</v>
      </c>
      <c r="AZ92">
        <v>7.73</v>
      </c>
      <c r="BA92">
        <v>1</v>
      </c>
      <c r="BB92">
        <v>1</v>
      </c>
      <c r="BC92">
        <v>7.73</v>
      </c>
      <c r="BD92" t="s">
        <v>3</v>
      </c>
      <c r="BE92" t="s">
        <v>3</v>
      </c>
      <c r="BF92" t="s">
        <v>3</v>
      </c>
      <c r="BG92" t="s">
        <v>3</v>
      </c>
      <c r="BH92">
        <v>3</v>
      </c>
      <c r="BI92">
        <v>1</v>
      </c>
      <c r="BJ92" t="s">
        <v>201</v>
      </c>
      <c r="BM92">
        <v>9001</v>
      </c>
      <c r="BN92">
        <v>0</v>
      </c>
      <c r="BO92" t="s">
        <v>20</v>
      </c>
      <c r="BP92">
        <v>1</v>
      </c>
      <c r="BQ92">
        <v>2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90</v>
      </c>
      <c r="CA92">
        <v>85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87"/>
        <v>112470.1</v>
      </c>
      <c r="CQ92">
        <f t="shared" si="88"/>
        <v>6501.1619000000001</v>
      </c>
      <c r="CR92">
        <f t="shared" si="89"/>
        <v>0</v>
      </c>
      <c r="CS92">
        <f t="shared" si="90"/>
        <v>0</v>
      </c>
      <c r="CT92">
        <f t="shared" si="91"/>
        <v>0</v>
      </c>
      <c r="CU92">
        <f t="shared" si="92"/>
        <v>0</v>
      </c>
      <c r="CV92">
        <f t="shared" si="93"/>
        <v>0</v>
      </c>
      <c r="CW92">
        <f t="shared" si="94"/>
        <v>0</v>
      </c>
      <c r="CX92">
        <f t="shared" si="95"/>
        <v>0</v>
      </c>
      <c r="CY92">
        <f t="shared" si="96"/>
        <v>0</v>
      </c>
      <c r="CZ92">
        <f t="shared" si="97"/>
        <v>0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1005</v>
      </c>
      <c r="DV92" t="s">
        <v>134</v>
      </c>
      <c r="DW92" t="s">
        <v>134</v>
      </c>
      <c r="DX92">
        <v>1</v>
      </c>
      <c r="DZ92" t="s">
        <v>3</v>
      </c>
      <c r="EA92" t="s">
        <v>3</v>
      </c>
      <c r="EB92" t="s">
        <v>3</v>
      </c>
      <c r="EC92" t="s">
        <v>3</v>
      </c>
      <c r="EE92">
        <v>94243477</v>
      </c>
      <c r="EF92">
        <v>2</v>
      </c>
      <c r="EG92" t="s">
        <v>126</v>
      </c>
      <c r="EH92">
        <v>0</v>
      </c>
      <c r="EI92" t="s">
        <v>3</v>
      </c>
      <c r="EJ92">
        <v>1</v>
      </c>
      <c r="EK92">
        <v>9001</v>
      </c>
      <c r="EL92" t="s">
        <v>191</v>
      </c>
      <c r="EM92" t="s">
        <v>192</v>
      </c>
      <c r="EO92" t="s">
        <v>3</v>
      </c>
      <c r="EQ92">
        <v>0</v>
      </c>
      <c r="ER92">
        <v>841.03</v>
      </c>
      <c r="ES92">
        <v>841.03</v>
      </c>
      <c r="ET92">
        <v>0</v>
      </c>
      <c r="EU92">
        <v>0</v>
      </c>
      <c r="EV92">
        <v>0</v>
      </c>
      <c r="EW92">
        <v>0</v>
      </c>
      <c r="EX92">
        <v>0</v>
      </c>
      <c r="FQ92">
        <v>0</v>
      </c>
      <c r="FR92">
        <f t="shared" si="98"/>
        <v>0</v>
      </c>
      <c r="FS92">
        <v>0</v>
      </c>
      <c r="FT92" t="s">
        <v>130</v>
      </c>
      <c r="FU92" t="s">
        <v>131</v>
      </c>
      <c r="FX92">
        <v>81</v>
      </c>
      <c r="FY92">
        <v>72.25</v>
      </c>
      <c r="GA92" t="s">
        <v>3</v>
      </c>
      <c r="GD92">
        <v>1</v>
      </c>
      <c r="GF92">
        <v>481353277</v>
      </c>
      <c r="GG92">
        <v>1</v>
      </c>
      <c r="GH92">
        <v>1</v>
      </c>
      <c r="GI92">
        <v>4</v>
      </c>
      <c r="GJ92">
        <v>0</v>
      </c>
      <c r="GK92">
        <v>0</v>
      </c>
      <c r="GL92">
        <f t="shared" si="99"/>
        <v>0</v>
      </c>
      <c r="GM92">
        <f t="shared" si="100"/>
        <v>112470.1</v>
      </c>
      <c r="GN92">
        <f t="shared" si="101"/>
        <v>112470.1</v>
      </c>
      <c r="GO92">
        <f t="shared" si="102"/>
        <v>0</v>
      </c>
      <c r="GP92">
        <f t="shared" si="103"/>
        <v>0</v>
      </c>
      <c r="GR92">
        <v>0</v>
      </c>
      <c r="GS92">
        <v>3</v>
      </c>
      <c r="GT92">
        <v>0</v>
      </c>
      <c r="GU92" t="s">
        <v>3</v>
      </c>
      <c r="GV92">
        <f t="shared" si="104"/>
        <v>0</v>
      </c>
      <c r="GW92">
        <v>1</v>
      </c>
      <c r="GX92">
        <f t="shared" si="105"/>
        <v>0</v>
      </c>
      <c r="HA92">
        <v>0</v>
      </c>
      <c r="HB92">
        <v>0</v>
      </c>
      <c r="HC92">
        <f t="shared" si="106"/>
        <v>0</v>
      </c>
      <c r="HE92" t="s">
        <v>3</v>
      </c>
      <c r="HF92" t="s">
        <v>3</v>
      </c>
      <c r="IK92">
        <v>0</v>
      </c>
    </row>
    <row r="93" spans="1:245" x14ac:dyDescent="0.2">
      <c r="A93">
        <v>17</v>
      </c>
      <c r="B93">
        <v>1</v>
      </c>
      <c r="C93">
        <f>ROW(SmtRes!A79)</f>
        <v>79</v>
      </c>
      <c r="D93">
        <f>ROW(EtalonRes!A80)</f>
        <v>80</v>
      </c>
      <c r="E93" t="s">
        <v>202</v>
      </c>
      <c r="F93" t="s">
        <v>203</v>
      </c>
      <c r="G93" t="s">
        <v>204</v>
      </c>
      <c r="H93" t="s">
        <v>205</v>
      </c>
      <c r="I93">
        <f>ROUND(4,4)</f>
        <v>4</v>
      </c>
      <c r="J93">
        <v>0</v>
      </c>
      <c r="O93">
        <f t="shared" si="70"/>
        <v>544.80999999999995</v>
      </c>
      <c r="P93">
        <f t="shared" si="71"/>
        <v>71.73</v>
      </c>
      <c r="Q93">
        <f t="shared" si="72"/>
        <v>81.63</v>
      </c>
      <c r="R93">
        <f t="shared" si="73"/>
        <v>0</v>
      </c>
      <c r="S93">
        <f t="shared" si="74"/>
        <v>391.45</v>
      </c>
      <c r="T93">
        <f t="shared" si="75"/>
        <v>0</v>
      </c>
      <c r="U93">
        <f t="shared" si="76"/>
        <v>5.1059999999999999</v>
      </c>
      <c r="V93">
        <f t="shared" si="77"/>
        <v>0</v>
      </c>
      <c r="W93">
        <f t="shared" si="78"/>
        <v>0</v>
      </c>
      <c r="X93">
        <f t="shared" si="79"/>
        <v>317.07</v>
      </c>
      <c r="Y93">
        <f t="shared" si="80"/>
        <v>281.83999999999997</v>
      </c>
      <c r="AA93">
        <v>96554872</v>
      </c>
      <c r="AB93">
        <f t="shared" si="81"/>
        <v>17.62</v>
      </c>
      <c r="AC93">
        <f t="shared" si="82"/>
        <v>2.3199999999999998</v>
      </c>
      <c r="AD93">
        <f>ROUND(((((ET93*1.25))-((EU93*1.25)))+AE93),2)</f>
        <v>2.64</v>
      </c>
      <c r="AE93">
        <f>ROUND(((EU93*1.25)),2)</f>
        <v>0</v>
      </c>
      <c r="AF93">
        <f>ROUND(((EV93*1.15)),2)</f>
        <v>12.66</v>
      </c>
      <c r="AG93">
        <f t="shared" si="84"/>
        <v>0</v>
      </c>
      <c r="AH93">
        <f>((EW93*1.15))</f>
        <v>1.2765</v>
      </c>
      <c r="AI93">
        <f>((EX93*1.25))</f>
        <v>0</v>
      </c>
      <c r="AJ93">
        <f t="shared" si="86"/>
        <v>0</v>
      </c>
      <c r="AK93">
        <v>15.44</v>
      </c>
      <c r="AL93">
        <v>2.3199999999999998</v>
      </c>
      <c r="AM93">
        <v>2.11</v>
      </c>
      <c r="AN93">
        <v>0</v>
      </c>
      <c r="AO93">
        <v>11.01</v>
      </c>
      <c r="AP93">
        <v>0</v>
      </c>
      <c r="AQ93">
        <v>1.1100000000000001</v>
      </c>
      <c r="AR93">
        <v>0</v>
      </c>
      <c r="AS93">
        <v>0</v>
      </c>
      <c r="AT93">
        <v>81</v>
      </c>
      <c r="AU93">
        <v>72</v>
      </c>
      <c r="AV93">
        <v>1</v>
      </c>
      <c r="AW93">
        <v>1</v>
      </c>
      <c r="AZ93">
        <v>7.73</v>
      </c>
      <c r="BA93">
        <v>7.73</v>
      </c>
      <c r="BB93">
        <v>7.73</v>
      </c>
      <c r="BC93">
        <v>7.73</v>
      </c>
      <c r="BD93" t="s">
        <v>3</v>
      </c>
      <c r="BE93" t="s">
        <v>3</v>
      </c>
      <c r="BF93" t="s">
        <v>3</v>
      </c>
      <c r="BG93" t="s">
        <v>3</v>
      </c>
      <c r="BH93">
        <v>0</v>
      </c>
      <c r="BI93">
        <v>1</v>
      </c>
      <c r="BJ93" t="s">
        <v>206</v>
      </c>
      <c r="BM93">
        <v>9001</v>
      </c>
      <c r="BN93">
        <v>0</v>
      </c>
      <c r="BO93" t="s">
        <v>20</v>
      </c>
      <c r="BP93">
        <v>1</v>
      </c>
      <c r="BQ93">
        <v>2</v>
      </c>
      <c r="BR93">
        <v>0</v>
      </c>
      <c r="BS93">
        <v>7.73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90</v>
      </c>
      <c r="CA93">
        <v>85</v>
      </c>
      <c r="CE93">
        <v>0</v>
      </c>
      <c r="CF93">
        <v>0</v>
      </c>
      <c r="CG93">
        <v>0</v>
      </c>
      <c r="CM93">
        <v>0</v>
      </c>
      <c r="CN93" t="s">
        <v>387</v>
      </c>
      <c r="CO93">
        <v>0</v>
      </c>
      <c r="CP93">
        <f t="shared" si="87"/>
        <v>544.80999999999995</v>
      </c>
      <c r="CQ93">
        <f t="shared" si="88"/>
        <v>17.933599999999998</v>
      </c>
      <c r="CR93">
        <f t="shared" si="89"/>
        <v>20.407200000000003</v>
      </c>
      <c r="CS93">
        <f t="shared" si="90"/>
        <v>0</v>
      </c>
      <c r="CT93">
        <f t="shared" si="91"/>
        <v>97.861800000000002</v>
      </c>
      <c r="CU93">
        <f t="shared" si="92"/>
        <v>0</v>
      </c>
      <c r="CV93">
        <f t="shared" si="93"/>
        <v>1.2765</v>
      </c>
      <c r="CW93">
        <f t="shared" si="94"/>
        <v>0</v>
      </c>
      <c r="CX93">
        <f t="shared" si="95"/>
        <v>0</v>
      </c>
      <c r="CY93">
        <f t="shared" si="96"/>
        <v>317.0745</v>
      </c>
      <c r="CZ93">
        <f t="shared" si="97"/>
        <v>281.84399999999999</v>
      </c>
      <c r="DC93" t="s">
        <v>3</v>
      </c>
      <c r="DD93" t="s">
        <v>3</v>
      </c>
      <c r="DE93" t="s">
        <v>124</v>
      </c>
      <c r="DF93" t="s">
        <v>124</v>
      </c>
      <c r="DG93" t="s">
        <v>125</v>
      </c>
      <c r="DH93" t="s">
        <v>3</v>
      </c>
      <c r="DI93" t="s">
        <v>125</v>
      </c>
      <c r="DJ93" t="s">
        <v>124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1013</v>
      </c>
      <c r="DV93" t="s">
        <v>205</v>
      </c>
      <c r="DW93" t="s">
        <v>205</v>
      </c>
      <c r="DX93">
        <v>1</v>
      </c>
      <c r="DZ93" t="s">
        <v>3</v>
      </c>
      <c r="EA93" t="s">
        <v>3</v>
      </c>
      <c r="EB93" t="s">
        <v>3</v>
      </c>
      <c r="EC93" t="s">
        <v>3</v>
      </c>
      <c r="EE93">
        <v>94243477</v>
      </c>
      <c r="EF93">
        <v>2</v>
      </c>
      <c r="EG93" t="s">
        <v>126</v>
      </c>
      <c r="EH93">
        <v>0</v>
      </c>
      <c r="EI93" t="s">
        <v>3</v>
      </c>
      <c r="EJ93">
        <v>1</v>
      </c>
      <c r="EK93">
        <v>9001</v>
      </c>
      <c r="EL93" t="s">
        <v>191</v>
      </c>
      <c r="EM93" t="s">
        <v>192</v>
      </c>
      <c r="EO93" t="s">
        <v>129</v>
      </c>
      <c r="EQ93">
        <v>0</v>
      </c>
      <c r="ER93">
        <v>15.44</v>
      </c>
      <c r="ES93">
        <v>2.3199999999999998</v>
      </c>
      <c r="ET93">
        <v>2.11</v>
      </c>
      <c r="EU93">
        <v>0</v>
      </c>
      <c r="EV93">
        <v>11.01</v>
      </c>
      <c r="EW93">
        <v>1.1100000000000001</v>
      </c>
      <c r="EX93">
        <v>0</v>
      </c>
      <c r="EY93">
        <v>0</v>
      </c>
      <c r="FQ93">
        <v>0</v>
      </c>
      <c r="FR93">
        <f t="shared" si="98"/>
        <v>0</v>
      </c>
      <c r="FS93">
        <v>0</v>
      </c>
      <c r="FT93" t="s">
        <v>130</v>
      </c>
      <c r="FU93" t="s">
        <v>131</v>
      </c>
      <c r="FX93">
        <v>81</v>
      </c>
      <c r="FY93">
        <v>72.25</v>
      </c>
      <c r="GA93" t="s">
        <v>3</v>
      </c>
      <c r="GD93">
        <v>1</v>
      </c>
      <c r="GF93">
        <v>-571691857</v>
      </c>
      <c r="GG93">
        <v>1</v>
      </c>
      <c r="GH93">
        <v>1</v>
      </c>
      <c r="GI93">
        <v>4</v>
      </c>
      <c r="GJ93">
        <v>0</v>
      </c>
      <c r="GK93">
        <v>0</v>
      </c>
      <c r="GL93">
        <f t="shared" si="99"/>
        <v>0</v>
      </c>
      <c r="GM93">
        <f t="shared" si="100"/>
        <v>1143.72</v>
      </c>
      <c r="GN93">
        <f t="shared" si="101"/>
        <v>1143.72</v>
      </c>
      <c r="GO93">
        <f t="shared" si="102"/>
        <v>0</v>
      </c>
      <c r="GP93">
        <f t="shared" si="103"/>
        <v>0</v>
      </c>
      <c r="GR93">
        <v>0</v>
      </c>
      <c r="GS93">
        <v>3</v>
      </c>
      <c r="GT93">
        <v>0</v>
      </c>
      <c r="GU93" t="s">
        <v>3</v>
      </c>
      <c r="GV93">
        <f t="shared" si="104"/>
        <v>0</v>
      </c>
      <c r="GW93">
        <v>1</v>
      </c>
      <c r="GX93">
        <f t="shared" si="105"/>
        <v>0</v>
      </c>
      <c r="HA93">
        <v>0</v>
      </c>
      <c r="HB93">
        <v>0</v>
      </c>
      <c r="HC93">
        <f t="shared" si="106"/>
        <v>0</v>
      </c>
      <c r="HE93" t="s">
        <v>3</v>
      </c>
      <c r="HF93" t="s">
        <v>3</v>
      </c>
      <c r="IK93">
        <v>0</v>
      </c>
    </row>
    <row r="94" spans="1:245" x14ac:dyDescent="0.2">
      <c r="A94">
        <v>18</v>
      </c>
      <c r="B94">
        <v>1</v>
      </c>
      <c r="C94">
        <v>77</v>
      </c>
      <c r="E94" t="s">
        <v>207</v>
      </c>
      <c r="F94" t="s">
        <v>208</v>
      </c>
      <c r="G94" t="s">
        <v>209</v>
      </c>
      <c r="H94" t="s">
        <v>205</v>
      </c>
      <c r="I94">
        <f>I93*J94</f>
        <v>4</v>
      </c>
      <c r="J94">
        <v>1</v>
      </c>
      <c r="O94">
        <f t="shared" si="70"/>
        <v>11477.5</v>
      </c>
      <c r="P94">
        <f t="shared" si="71"/>
        <v>11477.5</v>
      </c>
      <c r="Q94">
        <f t="shared" si="72"/>
        <v>0</v>
      </c>
      <c r="R94">
        <f t="shared" si="73"/>
        <v>0</v>
      </c>
      <c r="S94">
        <f t="shared" si="74"/>
        <v>0</v>
      </c>
      <c r="T94">
        <f t="shared" si="75"/>
        <v>0</v>
      </c>
      <c r="U94">
        <f t="shared" si="76"/>
        <v>0</v>
      </c>
      <c r="V94">
        <f t="shared" si="77"/>
        <v>0</v>
      </c>
      <c r="W94">
        <f t="shared" si="78"/>
        <v>0</v>
      </c>
      <c r="X94">
        <f t="shared" si="79"/>
        <v>0</v>
      </c>
      <c r="Y94">
        <f t="shared" si="80"/>
        <v>0</v>
      </c>
      <c r="AA94">
        <v>96554872</v>
      </c>
      <c r="AB94">
        <f t="shared" si="81"/>
        <v>371.2</v>
      </c>
      <c r="AC94">
        <f t="shared" si="82"/>
        <v>371.2</v>
      </c>
      <c r="AD94">
        <f>ROUND((((ET94)-(EU94))+AE94),2)</f>
        <v>0</v>
      </c>
      <c r="AE94">
        <f>ROUND((EU94),2)</f>
        <v>0</v>
      </c>
      <c r="AF94">
        <f>ROUND((EV94),2)</f>
        <v>0</v>
      </c>
      <c r="AG94">
        <f t="shared" si="84"/>
        <v>0</v>
      </c>
      <c r="AH94">
        <f>(EW94)</f>
        <v>0</v>
      </c>
      <c r="AI94">
        <f>(EX94)</f>
        <v>0</v>
      </c>
      <c r="AJ94">
        <f t="shared" si="86"/>
        <v>0</v>
      </c>
      <c r="AK94">
        <v>371.2</v>
      </c>
      <c r="AL94">
        <v>371.2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81</v>
      </c>
      <c r="AU94">
        <v>72</v>
      </c>
      <c r="AV94">
        <v>1</v>
      </c>
      <c r="AW94">
        <v>1</v>
      </c>
      <c r="AZ94">
        <v>7.73</v>
      </c>
      <c r="BA94">
        <v>1</v>
      </c>
      <c r="BB94">
        <v>1</v>
      </c>
      <c r="BC94">
        <v>7.73</v>
      </c>
      <c r="BD94" t="s">
        <v>3</v>
      </c>
      <c r="BE94" t="s">
        <v>3</v>
      </c>
      <c r="BF94" t="s">
        <v>3</v>
      </c>
      <c r="BG94" t="s">
        <v>3</v>
      </c>
      <c r="BH94">
        <v>3</v>
      </c>
      <c r="BI94">
        <v>1</v>
      </c>
      <c r="BJ94" t="s">
        <v>210</v>
      </c>
      <c r="BM94">
        <v>9001</v>
      </c>
      <c r="BN94">
        <v>0</v>
      </c>
      <c r="BO94" t="s">
        <v>20</v>
      </c>
      <c r="BP94">
        <v>1</v>
      </c>
      <c r="BQ94">
        <v>2</v>
      </c>
      <c r="BR94">
        <v>0</v>
      </c>
      <c r="BS94">
        <v>1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90</v>
      </c>
      <c r="CA94">
        <v>85</v>
      </c>
      <c r="CE94">
        <v>0</v>
      </c>
      <c r="CF94">
        <v>0</v>
      </c>
      <c r="CG94">
        <v>0</v>
      </c>
      <c r="CM94">
        <v>0</v>
      </c>
      <c r="CN94" t="s">
        <v>3</v>
      </c>
      <c r="CO94">
        <v>0</v>
      </c>
      <c r="CP94">
        <f t="shared" si="87"/>
        <v>11477.5</v>
      </c>
      <c r="CQ94">
        <f t="shared" si="88"/>
        <v>2869.3760000000002</v>
      </c>
      <c r="CR94">
        <f t="shared" si="89"/>
        <v>0</v>
      </c>
      <c r="CS94">
        <f t="shared" si="90"/>
        <v>0</v>
      </c>
      <c r="CT94">
        <f t="shared" si="91"/>
        <v>0</v>
      </c>
      <c r="CU94">
        <f t="shared" si="92"/>
        <v>0</v>
      </c>
      <c r="CV94">
        <f t="shared" si="93"/>
        <v>0</v>
      </c>
      <c r="CW94">
        <f t="shared" si="94"/>
        <v>0</v>
      </c>
      <c r="CX94">
        <f t="shared" si="95"/>
        <v>0</v>
      </c>
      <c r="CY94">
        <f t="shared" si="96"/>
        <v>0</v>
      </c>
      <c r="CZ94">
        <f t="shared" si="97"/>
        <v>0</v>
      </c>
      <c r="DC94" t="s">
        <v>3</v>
      </c>
      <c r="DD94" t="s">
        <v>3</v>
      </c>
      <c r="DE94" t="s">
        <v>3</v>
      </c>
      <c r="DF94" t="s">
        <v>3</v>
      </c>
      <c r="DG94" t="s">
        <v>3</v>
      </c>
      <c r="DH94" t="s">
        <v>3</v>
      </c>
      <c r="DI94" t="s">
        <v>3</v>
      </c>
      <c r="DJ94" t="s">
        <v>3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1013</v>
      </c>
      <c r="DV94" t="s">
        <v>205</v>
      </c>
      <c r="DW94" t="s">
        <v>205</v>
      </c>
      <c r="DX94">
        <v>1</v>
      </c>
      <c r="DZ94" t="s">
        <v>3</v>
      </c>
      <c r="EA94" t="s">
        <v>3</v>
      </c>
      <c r="EB94" t="s">
        <v>3</v>
      </c>
      <c r="EC94" t="s">
        <v>3</v>
      </c>
      <c r="EE94">
        <v>94243477</v>
      </c>
      <c r="EF94">
        <v>2</v>
      </c>
      <c r="EG94" t="s">
        <v>126</v>
      </c>
      <c r="EH94">
        <v>0</v>
      </c>
      <c r="EI94" t="s">
        <v>3</v>
      </c>
      <c r="EJ94">
        <v>1</v>
      </c>
      <c r="EK94">
        <v>9001</v>
      </c>
      <c r="EL94" t="s">
        <v>191</v>
      </c>
      <c r="EM94" t="s">
        <v>192</v>
      </c>
      <c r="EO94" t="s">
        <v>3</v>
      </c>
      <c r="EQ94">
        <v>0</v>
      </c>
      <c r="ER94">
        <v>371.2</v>
      </c>
      <c r="ES94">
        <v>371.2</v>
      </c>
      <c r="ET94">
        <v>0</v>
      </c>
      <c r="EU94">
        <v>0</v>
      </c>
      <c r="EV94">
        <v>0</v>
      </c>
      <c r="EW94">
        <v>0</v>
      </c>
      <c r="EX94">
        <v>0</v>
      </c>
      <c r="FQ94">
        <v>0</v>
      </c>
      <c r="FR94">
        <f t="shared" si="98"/>
        <v>0</v>
      </c>
      <c r="FS94">
        <v>0</v>
      </c>
      <c r="FT94" t="s">
        <v>130</v>
      </c>
      <c r="FU94" t="s">
        <v>131</v>
      </c>
      <c r="FX94">
        <v>81</v>
      </c>
      <c r="FY94">
        <v>72.25</v>
      </c>
      <c r="GA94" t="s">
        <v>3</v>
      </c>
      <c r="GD94">
        <v>1</v>
      </c>
      <c r="GF94">
        <v>1868433068</v>
      </c>
      <c r="GG94">
        <v>1</v>
      </c>
      <c r="GH94">
        <v>1</v>
      </c>
      <c r="GI94">
        <v>4</v>
      </c>
      <c r="GJ94">
        <v>0</v>
      </c>
      <c r="GK94">
        <v>0</v>
      </c>
      <c r="GL94">
        <f t="shared" si="99"/>
        <v>0</v>
      </c>
      <c r="GM94">
        <f t="shared" si="100"/>
        <v>11477.5</v>
      </c>
      <c r="GN94">
        <f t="shared" si="101"/>
        <v>11477.5</v>
      </c>
      <c r="GO94">
        <f t="shared" si="102"/>
        <v>0</v>
      </c>
      <c r="GP94">
        <f t="shared" si="103"/>
        <v>0</v>
      </c>
      <c r="GR94">
        <v>0</v>
      </c>
      <c r="GS94">
        <v>3</v>
      </c>
      <c r="GT94">
        <v>0</v>
      </c>
      <c r="GU94" t="s">
        <v>3</v>
      </c>
      <c r="GV94">
        <f t="shared" si="104"/>
        <v>0</v>
      </c>
      <c r="GW94">
        <v>1</v>
      </c>
      <c r="GX94">
        <f t="shared" si="105"/>
        <v>0</v>
      </c>
      <c r="HA94">
        <v>0</v>
      </c>
      <c r="HB94">
        <v>0</v>
      </c>
      <c r="HC94">
        <f t="shared" si="106"/>
        <v>0</v>
      </c>
      <c r="HE94" t="s">
        <v>3</v>
      </c>
      <c r="HF94" t="s">
        <v>3</v>
      </c>
      <c r="IK94">
        <v>0</v>
      </c>
    </row>
    <row r="96" spans="1:245" x14ac:dyDescent="0.2">
      <c r="A96" s="2">
        <v>51</v>
      </c>
      <c r="B96" s="2">
        <f>B71</f>
        <v>1</v>
      </c>
      <c r="C96" s="2">
        <f>A71</f>
        <v>4</v>
      </c>
      <c r="D96" s="2">
        <f>ROW(A71)</f>
        <v>71</v>
      </c>
      <c r="E96" s="2"/>
      <c r="F96" s="2" t="str">
        <f>IF(F71&lt;&gt;"",F71,"")</f>
        <v>Новый раздел</v>
      </c>
      <c r="G96" s="2" t="str">
        <f>IF(G71&lt;&gt;"",G71,"")</f>
        <v>Ремонтно-строительные работы</v>
      </c>
      <c r="H96" s="2">
        <v>0</v>
      </c>
      <c r="I96" s="2"/>
      <c r="J96" s="2"/>
      <c r="K96" s="2"/>
      <c r="L96" s="2"/>
      <c r="M96" s="2"/>
      <c r="N96" s="2"/>
      <c r="O96" s="2">
        <f t="shared" ref="O96:T96" si="109">ROUND(AB96,2)</f>
        <v>749794.97</v>
      </c>
      <c r="P96" s="2">
        <f t="shared" si="109"/>
        <v>732716</v>
      </c>
      <c r="Q96" s="2">
        <f t="shared" si="109"/>
        <v>4101.5</v>
      </c>
      <c r="R96" s="2">
        <f t="shared" si="109"/>
        <v>649.03</v>
      </c>
      <c r="S96" s="2">
        <f t="shared" si="109"/>
        <v>12977.47</v>
      </c>
      <c r="T96" s="2">
        <f t="shared" si="109"/>
        <v>0</v>
      </c>
      <c r="U96" s="2">
        <f>AH96</f>
        <v>184.22956459999997</v>
      </c>
      <c r="V96" s="2">
        <f>AI96</f>
        <v>7.1508950000000002</v>
      </c>
      <c r="W96" s="2">
        <f>ROUND(AJ96,2)</f>
        <v>0</v>
      </c>
      <c r="X96" s="2">
        <f>ROUND(AK96,2)</f>
        <v>13213.9</v>
      </c>
      <c r="Y96" s="2">
        <f>ROUND(AL96,2)</f>
        <v>8078.91</v>
      </c>
      <c r="Z96" s="2"/>
      <c r="AA96" s="2"/>
      <c r="AB96" s="2">
        <f>ROUND(SUMIF(AA75:AA94,"=96554872",O75:O94),2)</f>
        <v>749794.97</v>
      </c>
      <c r="AC96" s="2">
        <f>ROUND(SUMIF(AA75:AA94,"=96554872",P75:P94),2)</f>
        <v>732716</v>
      </c>
      <c r="AD96" s="2">
        <f>ROUND(SUMIF(AA75:AA94,"=96554872",Q75:Q94),2)</f>
        <v>4101.5</v>
      </c>
      <c r="AE96" s="2">
        <f>ROUND(SUMIF(AA75:AA94,"=96554872",R75:R94),2)</f>
        <v>649.03</v>
      </c>
      <c r="AF96" s="2">
        <f>ROUND(SUMIF(AA75:AA94,"=96554872",S75:S94),2)</f>
        <v>12977.47</v>
      </c>
      <c r="AG96" s="2">
        <f>ROUND(SUMIF(AA75:AA94,"=96554872",T75:T94),2)</f>
        <v>0</v>
      </c>
      <c r="AH96" s="2">
        <f>SUMIF(AA75:AA94,"=96554872",U75:U94)</f>
        <v>184.22956459999997</v>
      </c>
      <c r="AI96" s="2">
        <f>SUMIF(AA75:AA94,"=96554872",V75:V94)</f>
        <v>7.1508950000000002</v>
      </c>
      <c r="AJ96" s="2">
        <f>ROUND(SUMIF(AA75:AA94,"=96554872",W75:W94),2)</f>
        <v>0</v>
      </c>
      <c r="AK96" s="2">
        <f>ROUND(SUMIF(AA75:AA94,"=96554872",X75:X94),2)</f>
        <v>13213.9</v>
      </c>
      <c r="AL96" s="2">
        <f>ROUND(SUMIF(AA75:AA94,"=96554872",Y75:Y94),2)</f>
        <v>8078.91</v>
      </c>
      <c r="AM96" s="2"/>
      <c r="AN96" s="2"/>
      <c r="AO96" s="2">
        <f t="shared" ref="AO96:BD96" si="110">ROUND(BX96,2)</f>
        <v>0</v>
      </c>
      <c r="AP96" s="2">
        <f t="shared" si="110"/>
        <v>0</v>
      </c>
      <c r="AQ96" s="2">
        <f t="shared" si="110"/>
        <v>0</v>
      </c>
      <c r="AR96" s="2">
        <f t="shared" si="110"/>
        <v>771087.78</v>
      </c>
      <c r="AS96" s="2">
        <f t="shared" si="110"/>
        <v>771087.78</v>
      </c>
      <c r="AT96" s="2">
        <f t="shared" si="110"/>
        <v>0</v>
      </c>
      <c r="AU96" s="2">
        <f t="shared" si="110"/>
        <v>0</v>
      </c>
      <c r="AV96" s="2">
        <f t="shared" si="110"/>
        <v>732716</v>
      </c>
      <c r="AW96" s="2">
        <f t="shared" si="110"/>
        <v>732716</v>
      </c>
      <c r="AX96" s="2">
        <f t="shared" si="110"/>
        <v>0</v>
      </c>
      <c r="AY96" s="2">
        <f t="shared" si="110"/>
        <v>732716</v>
      </c>
      <c r="AZ96" s="2">
        <f t="shared" si="110"/>
        <v>0</v>
      </c>
      <c r="BA96" s="2">
        <f t="shared" si="110"/>
        <v>0</v>
      </c>
      <c r="BB96" s="2">
        <f t="shared" si="110"/>
        <v>0</v>
      </c>
      <c r="BC96" s="2">
        <f t="shared" si="110"/>
        <v>0</v>
      </c>
      <c r="BD96" s="2">
        <f t="shared" si="110"/>
        <v>0</v>
      </c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>
        <f>ROUND(SUMIF(AA75:AA94,"=96554872",FQ75:FQ94),2)</f>
        <v>0</v>
      </c>
      <c r="BY96" s="2">
        <f>ROUND(SUMIF(AA75:AA94,"=96554872",FR75:FR94),2)</f>
        <v>0</v>
      </c>
      <c r="BZ96" s="2">
        <f>ROUND(SUMIF(AA75:AA94,"=96554872",GL75:GL94),2)</f>
        <v>0</v>
      </c>
      <c r="CA96" s="2">
        <f>ROUND(SUMIF(AA75:AA94,"=96554872",GM75:GM94),2)</f>
        <v>771087.78</v>
      </c>
      <c r="CB96" s="2">
        <f>ROUND(SUMIF(AA75:AA94,"=96554872",GN75:GN94),2)</f>
        <v>771087.78</v>
      </c>
      <c r="CC96" s="2">
        <f>ROUND(SUMIF(AA75:AA94,"=96554872",GO75:GO94),2)</f>
        <v>0</v>
      </c>
      <c r="CD96" s="2">
        <f>ROUND(SUMIF(AA75:AA94,"=96554872",GP75:GP94),2)</f>
        <v>0</v>
      </c>
      <c r="CE96" s="2">
        <f>AC96-BX96</f>
        <v>732716</v>
      </c>
      <c r="CF96" s="2">
        <f>AC96-BY96</f>
        <v>732716</v>
      </c>
      <c r="CG96" s="2">
        <f>BX96-BZ96</f>
        <v>0</v>
      </c>
      <c r="CH96" s="2">
        <f>AC96-BX96-BY96+BZ96</f>
        <v>732716</v>
      </c>
      <c r="CI96" s="2">
        <f>BY96-BZ96</f>
        <v>0</v>
      </c>
      <c r="CJ96" s="2">
        <f>ROUND(SUMIF(AA75:AA94,"=96554872",GX75:GX94),2)</f>
        <v>0</v>
      </c>
      <c r="CK96" s="2">
        <f>ROUND(SUMIF(AA75:AA94,"=96554872",GY75:GY94),2)</f>
        <v>0</v>
      </c>
      <c r="CL96" s="2">
        <f>ROUND(SUMIF(AA75:AA94,"=96554872",GZ75:GZ94),2)</f>
        <v>0</v>
      </c>
      <c r="CM96" s="2">
        <f>ROUND(SUMIF(AA75:AA94,"=96554872",HD75:HD94),2)</f>
        <v>0</v>
      </c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>
        <v>0</v>
      </c>
    </row>
    <row r="98" spans="1:23" x14ac:dyDescent="0.2">
      <c r="A98" s="4">
        <v>50</v>
      </c>
      <c r="B98" s="4">
        <v>1</v>
      </c>
      <c r="C98" s="4">
        <v>0</v>
      </c>
      <c r="D98" s="4">
        <v>1</v>
      </c>
      <c r="E98" s="4">
        <v>201</v>
      </c>
      <c r="F98" s="4">
        <f>ROUND(Source!O96,O98)</f>
        <v>749794.97</v>
      </c>
      <c r="G98" s="4" t="s">
        <v>55</v>
      </c>
      <c r="H98" s="4" t="s">
        <v>56</v>
      </c>
      <c r="I98" s="4"/>
      <c r="J98" s="4"/>
      <c r="K98" s="4">
        <v>201</v>
      </c>
      <c r="L98" s="4">
        <v>1</v>
      </c>
      <c r="M98" s="4">
        <v>1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 x14ac:dyDescent="0.2">
      <c r="A99" s="4">
        <v>50</v>
      </c>
      <c r="B99" s="4">
        <v>1</v>
      </c>
      <c r="C99" s="4">
        <v>0</v>
      </c>
      <c r="D99" s="4">
        <v>1</v>
      </c>
      <c r="E99" s="4">
        <v>202</v>
      </c>
      <c r="F99" s="4">
        <f>ROUND(Source!P96,O99)</f>
        <v>732716</v>
      </c>
      <c r="G99" s="4" t="s">
        <v>57</v>
      </c>
      <c r="H99" s="4" t="s">
        <v>58</v>
      </c>
      <c r="I99" s="4"/>
      <c r="J99" s="4"/>
      <c r="K99" s="4">
        <v>202</v>
      </c>
      <c r="L99" s="4">
        <v>2</v>
      </c>
      <c r="M99" s="4">
        <v>1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3" x14ac:dyDescent="0.2">
      <c r="A100" s="4">
        <v>50</v>
      </c>
      <c r="B100" s="4">
        <v>0</v>
      </c>
      <c r="C100" s="4">
        <v>0</v>
      </c>
      <c r="D100" s="4">
        <v>1</v>
      </c>
      <c r="E100" s="4">
        <v>222</v>
      </c>
      <c r="F100" s="4">
        <f>ROUND(Source!AO96,O100)</f>
        <v>0</v>
      </c>
      <c r="G100" s="4" t="s">
        <v>59</v>
      </c>
      <c r="H100" s="4" t="s">
        <v>60</v>
      </c>
      <c r="I100" s="4"/>
      <c r="J100" s="4"/>
      <c r="K100" s="4">
        <v>222</v>
      </c>
      <c r="L100" s="4">
        <v>3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3" x14ac:dyDescent="0.2">
      <c r="A101" s="4">
        <v>50</v>
      </c>
      <c r="B101" s="4">
        <v>0</v>
      </c>
      <c r="C101" s="4">
        <v>0</v>
      </c>
      <c r="D101" s="4">
        <v>1</v>
      </c>
      <c r="E101" s="4">
        <v>225</v>
      </c>
      <c r="F101" s="4">
        <f>ROUND(Source!AV96,O101)</f>
        <v>732716</v>
      </c>
      <c r="G101" s="4" t="s">
        <v>61</v>
      </c>
      <c r="H101" s="4" t="s">
        <v>62</v>
      </c>
      <c r="I101" s="4"/>
      <c r="J101" s="4"/>
      <c r="K101" s="4">
        <v>225</v>
      </c>
      <c r="L101" s="4">
        <v>4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3" x14ac:dyDescent="0.2">
      <c r="A102" s="4">
        <v>50</v>
      </c>
      <c r="B102" s="4">
        <v>1</v>
      </c>
      <c r="C102" s="4">
        <v>0</v>
      </c>
      <c r="D102" s="4">
        <v>1</v>
      </c>
      <c r="E102" s="4">
        <v>226</v>
      </c>
      <c r="F102" s="4">
        <f>ROUND(Source!AW96,O102)</f>
        <v>732716</v>
      </c>
      <c r="G102" s="4" t="s">
        <v>63</v>
      </c>
      <c r="H102" s="4" t="s">
        <v>64</v>
      </c>
      <c r="I102" s="4"/>
      <c r="J102" s="4"/>
      <c r="K102" s="4">
        <v>226</v>
      </c>
      <c r="L102" s="4">
        <v>5</v>
      </c>
      <c r="M102" s="4">
        <v>1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3" x14ac:dyDescent="0.2">
      <c r="A103" s="4">
        <v>50</v>
      </c>
      <c r="B103" s="4">
        <v>0</v>
      </c>
      <c r="C103" s="4">
        <v>0</v>
      </c>
      <c r="D103" s="4">
        <v>1</v>
      </c>
      <c r="E103" s="4">
        <v>227</v>
      </c>
      <c r="F103" s="4">
        <f>ROUND(Source!AX96,O103)</f>
        <v>0</v>
      </c>
      <c r="G103" s="4" t="s">
        <v>65</v>
      </c>
      <c r="H103" s="4" t="s">
        <v>66</v>
      </c>
      <c r="I103" s="4"/>
      <c r="J103" s="4"/>
      <c r="K103" s="4">
        <v>227</v>
      </c>
      <c r="L103" s="4">
        <v>6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4" spans="1:23" x14ac:dyDescent="0.2">
      <c r="A104" s="4">
        <v>50</v>
      </c>
      <c r="B104" s="4">
        <v>0</v>
      </c>
      <c r="C104" s="4">
        <v>0</v>
      </c>
      <c r="D104" s="4">
        <v>1</v>
      </c>
      <c r="E104" s="4">
        <v>228</v>
      </c>
      <c r="F104" s="4">
        <f>ROUND(Source!AY96,O104)</f>
        <v>732716</v>
      </c>
      <c r="G104" s="4" t="s">
        <v>67</v>
      </c>
      <c r="H104" s="4" t="s">
        <v>68</v>
      </c>
      <c r="I104" s="4"/>
      <c r="J104" s="4"/>
      <c r="K104" s="4">
        <v>228</v>
      </c>
      <c r="L104" s="4">
        <v>7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5" spans="1:23" x14ac:dyDescent="0.2">
      <c r="A105" s="4">
        <v>50</v>
      </c>
      <c r="B105" s="4">
        <v>0</v>
      </c>
      <c r="C105" s="4">
        <v>0</v>
      </c>
      <c r="D105" s="4">
        <v>1</v>
      </c>
      <c r="E105" s="4">
        <v>216</v>
      </c>
      <c r="F105" s="4">
        <f>ROUND(Source!AP96,O105)</f>
        <v>0</v>
      </c>
      <c r="G105" s="4" t="s">
        <v>69</v>
      </c>
      <c r="H105" s="4" t="s">
        <v>70</v>
      </c>
      <c r="I105" s="4"/>
      <c r="J105" s="4"/>
      <c r="K105" s="4">
        <v>216</v>
      </c>
      <c r="L105" s="4">
        <v>8</v>
      </c>
      <c r="M105" s="4">
        <v>1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23" x14ac:dyDescent="0.2">
      <c r="A106" s="4">
        <v>50</v>
      </c>
      <c r="B106" s="4">
        <v>0</v>
      </c>
      <c r="C106" s="4">
        <v>0</v>
      </c>
      <c r="D106" s="4">
        <v>1</v>
      </c>
      <c r="E106" s="4">
        <v>223</v>
      </c>
      <c r="F106" s="4">
        <f>ROUND(Source!AQ96,O106)</f>
        <v>0</v>
      </c>
      <c r="G106" s="4" t="s">
        <v>71</v>
      </c>
      <c r="H106" s="4" t="s">
        <v>72</v>
      </c>
      <c r="I106" s="4"/>
      <c r="J106" s="4"/>
      <c r="K106" s="4">
        <v>223</v>
      </c>
      <c r="L106" s="4">
        <v>9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3" x14ac:dyDescent="0.2">
      <c r="A107" s="4">
        <v>50</v>
      </c>
      <c r="B107" s="4">
        <v>0</v>
      </c>
      <c r="C107" s="4">
        <v>0</v>
      </c>
      <c r="D107" s="4">
        <v>1</v>
      </c>
      <c r="E107" s="4">
        <v>229</v>
      </c>
      <c r="F107" s="4">
        <f>ROUND(Source!AZ96,O107)</f>
        <v>0</v>
      </c>
      <c r="G107" s="4" t="s">
        <v>73</v>
      </c>
      <c r="H107" s="4" t="s">
        <v>74</v>
      </c>
      <c r="I107" s="4"/>
      <c r="J107" s="4"/>
      <c r="K107" s="4">
        <v>229</v>
      </c>
      <c r="L107" s="4">
        <v>10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3" x14ac:dyDescent="0.2">
      <c r="A108" s="4">
        <v>50</v>
      </c>
      <c r="B108" s="4">
        <v>1</v>
      </c>
      <c r="C108" s="4">
        <v>0</v>
      </c>
      <c r="D108" s="4">
        <v>1</v>
      </c>
      <c r="E108" s="4">
        <v>203</v>
      </c>
      <c r="F108" s="4">
        <f>ROUND(Source!Q96,O108)</f>
        <v>4101.5</v>
      </c>
      <c r="G108" s="4" t="s">
        <v>75</v>
      </c>
      <c r="H108" s="4" t="s">
        <v>76</v>
      </c>
      <c r="I108" s="4"/>
      <c r="J108" s="4"/>
      <c r="K108" s="4">
        <v>203</v>
      </c>
      <c r="L108" s="4">
        <v>11</v>
      </c>
      <c r="M108" s="4">
        <v>1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3" x14ac:dyDescent="0.2">
      <c r="A109" s="4">
        <v>50</v>
      </c>
      <c r="B109" s="4">
        <v>0</v>
      </c>
      <c r="C109" s="4">
        <v>0</v>
      </c>
      <c r="D109" s="4">
        <v>1</v>
      </c>
      <c r="E109" s="4">
        <v>231</v>
      </c>
      <c r="F109" s="4">
        <f>ROUND(Source!BB96,O109)</f>
        <v>0</v>
      </c>
      <c r="G109" s="4" t="s">
        <v>77</v>
      </c>
      <c r="H109" s="4" t="s">
        <v>78</v>
      </c>
      <c r="I109" s="4"/>
      <c r="J109" s="4"/>
      <c r="K109" s="4">
        <v>231</v>
      </c>
      <c r="L109" s="4">
        <v>12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3" x14ac:dyDescent="0.2">
      <c r="A110" s="4">
        <v>50</v>
      </c>
      <c r="B110" s="4">
        <v>1</v>
      </c>
      <c r="C110" s="4">
        <v>0</v>
      </c>
      <c r="D110" s="4">
        <v>1</v>
      </c>
      <c r="E110" s="4">
        <v>204</v>
      </c>
      <c r="F110" s="4">
        <f>ROUND(Source!R96,O110)</f>
        <v>649.03</v>
      </c>
      <c r="G110" s="4" t="s">
        <v>79</v>
      </c>
      <c r="H110" s="4" t="s">
        <v>80</v>
      </c>
      <c r="I110" s="4"/>
      <c r="J110" s="4"/>
      <c r="K110" s="4">
        <v>204</v>
      </c>
      <c r="L110" s="4">
        <v>13</v>
      </c>
      <c r="M110" s="4">
        <v>1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3" x14ac:dyDescent="0.2">
      <c r="A111" s="4">
        <v>50</v>
      </c>
      <c r="B111" s="4">
        <v>1</v>
      </c>
      <c r="C111" s="4">
        <v>0</v>
      </c>
      <c r="D111" s="4">
        <v>1</v>
      </c>
      <c r="E111" s="4">
        <v>205</v>
      </c>
      <c r="F111" s="4">
        <f>ROUND(Source!S96,O111)</f>
        <v>12977.47</v>
      </c>
      <c r="G111" s="4" t="s">
        <v>81</v>
      </c>
      <c r="H111" s="4" t="s">
        <v>82</v>
      </c>
      <c r="I111" s="4"/>
      <c r="J111" s="4"/>
      <c r="K111" s="4">
        <v>205</v>
      </c>
      <c r="L111" s="4">
        <v>14</v>
      </c>
      <c r="M111" s="4">
        <v>1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3" x14ac:dyDescent="0.2">
      <c r="A112" s="4">
        <v>50</v>
      </c>
      <c r="B112" s="4">
        <v>0</v>
      </c>
      <c r="C112" s="4">
        <v>0</v>
      </c>
      <c r="D112" s="4">
        <v>1</v>
      </c>
      <c r="E112" s="4">
        <v>232</v>
      </c>
      <c r="F112" s="4">
        <f>ROUND(Source!BC96,O112)</f>
        <v>0</v>
      </c>
      <c r="G112" s="4" t="s">
        <v>83</v>
      </c>
      <c r="H112" s="4" t="s">
        <v>84</v>
      </c>
      <c r="I112" s="4"/>
      <c r="J112" s="4"/>
      <c r="K112" s="4">
        <v>232</v>
      </c>
      <c r="L112" s="4">
        <v>15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06" x14ac:dyDescent="0.2">
      <c r="A113" s="4">
        <v>50</v>
      </c>
      <c r="B113" s="4">
        <v>1</v>
      </c>
      <c r="C113" s="4">
        <v>0</v>
      </c>
      <c r="D113" s="4">
        <v>1</v>
      </c>
      <c r="E113" s="4">
        <v>214</v>
      </c>
      <c r="F113" s="4">
        <f>ROUND(Source!AS96,O113)</f>
        <v>771087.78</v>
      </c>
      <c r="G113" s="4" t="s">
        <v>85</v>
      </c>
      <c r="H113" s="4" t="s">
        <v>86</v>
      </c>
      <c r="I113" s="4"/>
      <c r="J113" s="4"/>
      <c r="K113" s="4">
        <v>214</v>
      </c>
      <c r="L113" s="4">
        <v>16</v>
      </c>
      <c r="M113" s="4">
        <v>1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06" x14ac:dyDescent="0.2">
      <c r="A114" s="4">
        <v>50</v>
      </c>
      <c r="B114" s="4">
        <v>0</v>
      </c>
      <c r="C114" s="4">
        <v>0</v>
      </c>
      <c r="D114" s="4">
        <v>1</v>
      </c>
      <c r="E114" s="4">
        <v>215</v>
      </c>
      <c r="F114" s="4">
        <f>ROUND(Source!AT96,O114)</f>
        <v>0</v>
      </c>
      <c r="G114" s="4" t="s">
        <v>87</v>
      </c>
      <c r="H114" s="4" t="s">
        <v>88</v>
      </c>
      <c r="I114" s="4"/>
      <c r="J114" s="4"/>
      <c r="K114" s="4">
        <v>215</v>
      </c>
      <c r="L114" s="4">
        <v>17</v>
      </c>
      <c r="M114" s="4">
        <v>1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06" x14ac:dyDescent="0.2">
      <c r="A115" s="4">
        <v>50</v>
      </c>
      <c r="B115" s="4">
        <v>0</v>
      </c>
      <c r="C115" s="4">
        <v>0</v>
      </c>
      <c r="D115" s="4">
        <v>1</v>
      </c>
      <c r="E115" s="4">
        <v>217</v>
      </c>
      <c r="F115" s="4">
        <f>ROUND(Source!AU96,O115)</f>
        <v>0</v>
      </c>
      <c r="G115" s="4" t="s">
        <v>89</v>
      </c>
      <c r="H115" s="4" t="s">
        <v>90</v>
      </c>
      <c r="I115" s="4"/>
      <c r="J115" s="4"/>
      <c r="K115" s="4">
        <v>217</v>
      </c>
      <c r="L115" s="4">
        <v>18</v>
      </c>
      <c r="M115" s="4">
        <v>1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06" x14ac:dyDescent="0.2">
      <c r="A116" s="4">
        <v>50</v>
      </c>
      <c r="B116" s="4">
        <v>0</v>
      </c>
      <c r="C116" s="4">
        <v>0</v>
      </c>
      <c r="D116" s="4">
        <v>1</v>
      </c>
      <c r="E116" s="4">
        <v>230</v>
      </c>
      <c r="F116" s="4">
        <f>ROUND(Source!BA96,O116)</f>
        <v>0</v>
      </c>
      <c r="G116" s="4" t="s">
        <v>91</v>
      </c>
      <c r="H116" s="4" t="s">
        <v>92</v>
      </c>
      <c r="I116" s="4"/>
      <c r="J116" s="4"/>
      <c r="K116" s="4">
        <v>230</v>
      </c>
      <c r="L116" s="4">
        <v>19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06" x14ac:dyDescent="0.2">
      <c r="A117" s="4">
        <v>50</v>
      </c>
      <c r="B117" s="4">
        <v>0</v>
      </c>
      <c r="C117" s="4">
        <v>0</v>
      </c>
      <c r="D117" s="4">
        <v>1</v>
      </c>
      <c r="E117" s="4">
        <v>206</v>
      </c>
      <c r="F117" s="4">
        <f>ROUND(Source!T96,O117)</f>
        <v>0</v>
      </c>
      <c r="G117" s="4" t="s">
        <v>93</v>
      </c>
      <c r="H117" s="4" t="s">
        <v>94</v>
      </c>
      <c r="I117" s="4"/>
      <c r="J117" s="4"/>
      <c r="K117" s="4">
        <v>206</v>
      </c>
      <c r="L117" s="4">
        <v>20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06" x14ac:dyDescent="0.2">
      <c r="A118" s="4">
        <v>50</v>
      </c>
      <c r="B118" s="4">
        <v>1</v>
      </c>
      <c r="C118" s="4">
        <v>0</v>
      </c>
      <c r="D118" s="4">
        <v>1</v>
      </c>
      <c r="E118" s="4">
        <v>207</v>
      </c>
      <c r="F118" s="4">
        <f>ROUND(Source!U96,O118)</f>
        <v>184.23</v>
      </c>
      <c r="G118" s="4" t="s">
        <v>95</v>
      </c>
      <c r="H118" s="4" t="s">
        <v>96</v>
      </c>
      <c r="I118" s="4"/>
      <c r="J118" s="4"/>
      <c r="K118" s="4">
        <v>207</v>
      </c>
      <c r="L118" s="4">
        <v>21</v>
      </c>
      <c r="M118" s="4">
        <v>1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06" x14ac:dyDescent="0.2">
      <c r="A119" s="4">
        <v>50</v>
      </c>
      <c r="B119" s="4">
        <v>1</v>
      </c>
      <c r="C119" s="4">
        <v>0</v>
      </c>
      <c r="D119" s="4">
        <v>1</v>
      </c>
      <c r="E119" s="4">
        <v>208</v>
      </c>
      <c r="F119" s="4">
        <f>ROUND(Source!V96,O119)</f>
        <v>7.15</v>
      </c>
      <c r="G119" s="4" t="s">
        <v>97</v>
      </c>
      <c r="H119" s="4" t="s">
        <v>98</v>
      </c>
      <c r="I119" s="4"/>
      <c r="J119" s="4"/>
      <c r="K119" s="4">
        <v>208</v>
      </c>
      <c r="L119" s="4">
        <v>22</v>
      </c>
      <c r="M119" s="4">
        <v>1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06" x14ac:dyDescent="0.2">
      <c r="A120" s="4">
        <v>50</v>
      </c>
      <c r="B120" s="4">
        <v>0</v>
      </c>
      <c r="C120" s="4">
        <v>0</v>
      </c>
      <c r="D120" s="4">
        <v>1</v>
      </c>
      <c r="E120" s="4">
        <v>209</v>
      </c>
      <c r="F120" s="4">
        <f>ROUND(Source!W96,O120)</f>
        <v>0</v>
      </c>
      <c r="G120" s="4" t="s">
        <v>99</v>
      </c>
      <c r="H120" s="4" t="s">
        <v>100</v>
      </c>
      <c r="I120" s="4"/>
      <c r="J120" s="4"/>
      <c r="K120" s="4">
        <v>209</v>
      </c>
      <c r="L120" s="4">
        <v>23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06" x14ac:dyDescent="0.2">
      <c r="A121" s="4">
        <v>50</v>
      </c>
      <c r="B121" s="4">
        <v>0</v>
      </c>
      <c r="C121" s="4">
        <v>0</v>
      </c>
      <c r="D121" s="4">
        <v>1</v>
      </c>
      <c r="E121" s="4">
        <v>233</v>
      </c>
      <c r="F121" s="4">
        <f>ROUND(Source!BD96,O121)</f>
        <v>0</v>
      </c>
      <c r="G121" s="4" t="s">
        <v>101</v>
      </c>
      <c r="H121" s="4" t="s">
        <v>102</v>
      </c>
      <c r="I121" s="4"/>
      <c r="J121" s="4"/>
      <c r="K121" s="4">
        <v>233</v>
      </c>
      <c r="L121" s="4">
        <v>24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/>
    </row>
    <row r="122" spans="1:206" x14ac:dyDescent="0.2">
      <c r="A122" s="4">
        <v>50</v>
      </c>
      <c r="B122" s="4">
        <v>1</v>
      </c>
      <c r="C122" s="4">
        <v>0</v>
      </c>
      <c r="D122" s="4">
        <v>1</v>
      </c>
      <c r="E122" s="4">
        <v>210</v>
      </c>
      <c r="F122" s="4">
        <f>ROUND(Source!X96,O122)</f>
        <v>13213.9</v>
      </c>
      <c r="G122" s="4" t="s">
        <v>103</v>
      </c>
      <c r="H122" s="4" t="s">
        <v>104</v>
      </c>
      <c r="I122" s="4"/>
      <c r="J122" s="4"/>
      <c r="K122" s="4">
        <v>210</v>
      </c>
      <c r="L122" s="4">
        <v>25</v>
      </c>
      <c r="M122" s="4">
        <v>1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06" x14ac:dyDescent="0.2">
      <c r="A123" s="4">
        <v>50</v>
      </c>
      <c r="B123" s="4">
        <v>1</v>
      </c>
      <c r="C123" s="4">
        <v>0</v>
      </c>
      <c r="D123" s="4">
        <v>1</v>
      </c>
      <c r="E123" s="4">
        <v>211</v>
      </c>
      <c r="F123" s="4">
        <f>ROUND(Source!Y96,O123)</f>
        <v>8078.91</v>
      </c>
      <c r="G123" s="4" t="s">
        <v>105</v>
      </c>
      <c r="H123" s="4" t="s">
        <v>106</v>
      </c>
      <c r="I123" s="4"/>
      <c r="J123" s="4"/>
      <c r="K123" s="4">
        <v>211</v>
      </c>
      <c r="L123" s="4">
        <v>26</v>
      </c>
      <c r="M123" s="4">
        <v>1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06" x14ac:dyDescent="0.2">
      <c r="A124" s="4">
        <v>50</v>
      </c>
      <c r="B124" s="4">
        <v>1</v>
      </c>
      <c r="C124" s="4">
        <v>0</v>
      </c>
      <c r="D124" s="4">
        <v>1</v>
      </c>
      <c r="E124" s="4">
        <v>224</v>
      </c>
      <c r="F124" s="4">
        <f>ROUND(Source!AR96,O124)</f>
        <v>771087.78</v>
      </c>
      <c r="G124" s="4" t="s">
        <v>107</v>
      </c>
      <c r="H124" s="4" t="s">
        <v>108</v>
      </c>
      <c r="I124" s="4"/>
      <c r="J124" s="4"/>
      <c r="K124" s="4">
        <v>224</v>
      </c>
      <c r="L124" s="4">
        <v>27</v>
      </c>
      <c r="M124" s="4">
        <v>1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6" spans="1:206" x14ac:dyDescent="0.2">
      <c r="A126" s="1">
        <v>4</v>
      </c>
      <c r="B126" s="1">
        <v>1</v>
      </c>
      <c r="C126" s="1"/>
      <c r="D126" s="1">
        <f>ROW(A133)</f>
        <v>133</v>
      </c>
      <c r="E126" s="1"/>
      <c r="F126" s="1" t="s">
        <v>13</v>
      </c>
      <c r="G126" s="1" t="s">
        <v>211</v>
      </c>
      <c r="H126" s="1" t="s">
        <v>3</v>
      </c>
      <c r="I126" s="1">
        <v>0</v>
      </c>
      <c r="J126" s="1"/>
      <c r="K126" s="1">
        <v>0</v>
      </c>
      <c r="L126" s="1"/>
      <c r="M126" s="1" t="s">
        <v>3</v>
      </c>
      <c r="N126" s="1"/>
      <c r="O126" s="1"/>
      <c r="P126" s="1"/>
      <c r="Q126" s="1"/>
      <c r="R126" s="1"/>
      <c r="S126" s="1">
        <v>0</v>
      </c>
      <c r="T126" s="1"/>
      <c r="U126" s="1" t="s">
        <v>3</v>
      </c>
      <c r="V126" s="1">
        <v>0</v>
      </c>
      <c r="W126" s="1"/>
      <c r="X126" s="1"/>
      <c r="Y126" s="1"/>
      <c r="Z126" s="1"/>
      <c r="AA126" s="1"/>
      <c r="AB126" s="1" t="s">
        <v>3</v>
      </c>
      <c r="AC126" s="1" t="s">
        <v>3</v>
      </c>
      <c r="AD126" s="1" t="s">
        <v>3</v>
      </c>
      <c r="AE126" s="1" t="s">
        <v>3</v>
      </c>
      <c r="AF126" s="1" t="s">
        <v>3</v>
      </c>
      <c r="AG126" s="1" t="s">
        <v>3</v>
      </c>
      <c r="AH126" s="1"/>
      <c r="AI126" s="1"/>
      <c r="AJ126" s="1"/>
      <c r="AK126" s="1"/>
      <c r="AL126" s="1"/>
      <c r="AM126" s="1"/>
      <c r="AN126" s="1"/>
      <c r="AO126" s="1"/>
      <c r="AP126" s="1" t="s">
        <v>3</v>
      </c>
      <c r="AQ126" s="1" t="s">
        <v>3</v>
      </c>
      <c r="AR126" s="1" t="s">
        <v>3</v>
      </c>
      <c r="AS126" s="1"/>
      <c r="AT126" s="1"/>
      <c r="AU126" s="1"/>
      <c r="AV126" s="1"/>
      <c r="AW126" s="1"/>
      <c r="AX126" s="1"/>
      <c r="AY126" s="1"/>
      <c r="AZ126" s="1" t="s">
        <v>3</v>
      </c>
      <c r="BA126" s="1"/>
      <c r="BB126" s="1" t="s">
        <v>3</v>
      </c>
      <c r="BC126" s="1" t="s">
        <v>3</v>
      </c>
      <c r="BD126" s="1" t="s">
        <v>3</v>
      </c>
      <c r="BE126" s="1" t="s">
        <v>3</v>
      </c>
      <c r="BF126" s="1" t="s">
        <v>3</v>
      </c>
      <c r="BG126" s="1" t="s">
        <v>3</v>
      </c>
      <c r="BH126" s="1" t="s">
        <v>3</v>
      </c>
      <c r="BI126" s="1" t="s">
        <v>3</v>
      </c>
      <c r="BJ126" s="1" t="s">
        <v>3</v>
      </c>
      <c r="BK126" s="1" t="s">
        <v>3</v>
      </c>
      <c r="BL126" s="1" t="s">
        <v>3</v>
      </c>
      <c r="BM126" s="1" t="s">
        <v>3</v>
      </c>
      <c r="BN126" s="1" t="s">
        <v>3</v>
      </c>
      <c r="BO126" s="1" t="s">
        <v>3</v>
      </c>
      <c r="BP126" s="1" t="s">
        <v>3</v>
      </c>
      <c r="BQ126" s="1"/>
      <c r="BR126" s="1"/>
      <c r="BS126" s="1"/>
      <c r="BT126" s="1"/>
      <c r="BU126" s="1"/>
      <c r="BV126" s="1"/>
      <c r="BW126" s="1"/>
      <c r="BX126" s="1">
        <v>0</v>
      </c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>
        <v>0</v>
      </c>
    </row>
    <row r="128" spans="1:206" x14ac:dyDescent="0.2">
      <c r="A128" s="2">
        <v>52</v>
      </c>
      <c r="B128" s="2">
        <f t="shared" ref="B128:G128" si="111">B133</f>
        <v>1</v>
      </c>
      <c r="C128" s="2">
        <f t="shared" si="111"/>
        <v>4</v>
      </c>
      <c r="D128" s="2">
        <f t="shared" si="111"/>
        <v>126</v>
      </c>
      <c r="E128" s="2">
        <f t="shared" si="111"/>
        <v>0</v>
      </c>
      <c r="F128" s="2" t="str">
        <f t="shared" si="111"/>
        <v>Новый раздел</v>
      </c>
      <c r="G128" s="2" t="str">
        <f t="shared" si="111"/>
        <v>Вывоз мусора</v>
      </c>
      <c r="H128" s="2"/>
      <c r="I128" s="2"/>
      <c r="J128" s="2"/>
      <c r="K128" s="2"/>
      <c r="L128" s="2"/>
      <c r="M128" s="2"/>
      <c r="N128" s="2"/>
      <c r="O128" s="2">
        <f t="shared" ref="O128:AT128" si="112">O133</f>
        <v>0</v>
      </c>
      <c r="P128" s="2">
        <f t="shared" si="112"/>
        <v>0</v>
      </c>
      <c r="Q128" s="2">
        <f t="shared" si="112"/>
        <v>0</v>
      </c>
      <c r="R128" s="2">
        <f t="shared" si="112"/>
        <v>0</v>
      </c>
      <c r="S128" s="2">
        <f t="shared" si="112"/>
        <v>0</v>
      </c>
      <c r="T128" s="2">
        <f t="shared" si="112"/>
        <v>0</v>
      </c>
      <c r="U128" s="2">
        <f t="shared" si="112"/>
        <v>0</v>
      </c>
      <c r="V128" s="2">
        <f t="shared" si="112"/>
        <v>0</v>
      </c>
      <c r="W128" s="2">
        <f t="shared" si="112"/>
        <v>0</v>
      </c>
      <c r="X128" s="2">
        <f t="shared" si="112"/>
        <v>0</v>
      </c>
      <c r="Y128" s="2">
        <f t="shared" si="112"/>
        <v>0</v>
      </c>
      <c r="Z128" s="2">
        <f t="shared" si="112"/>
        <v>0</v>
      </c>
      <c r="AA128" s="2">
        <f t="shared" si="112"/>
        <v>0</v>
      </c>
      <c r="AB128" s="2">
        <f t="shared" si="112"/>
        <v>0</v>
      </c>
      <c r="AC128" s="2">
        <f t="shared" si="112"/>
        <v>0</v>
      </c>
      <c r="AD128" s="2">
        <f t="shared" si="112"/>
        <v>0</v>
      </c>
      <c r="AE128" s="2">
        <f t="shared" si="112"/>
        <v>0</v>
      </c>
      <c r="AF128" s="2">
        <f t="shared" si="112"/>
        <v>0</v>
      </c>
      <c r="AG128" s="2">
        <f t="shared" si="112"/>
        <v>0</v>
      </c>
      <c r="AH128" s="2">
        <f t="shared" si="112"/>
        <v>0</v>
      </c>
      <c r="AI128" s="2">
        <f t="shared" si="112"/>
        <v>0</v>
      </c>
      <c r="AJ128" s="2">
        <f t="shared" si="112"/>
        <v>0</v>
      </c>
      <c r="AK128" s="2">
        <f t="shared" si="112"/>
        <v>0</v>
      </c>
      <c r="AL128" s="2">
        <f t="shared" si="112"/>
        <v>0</v>
      </c>
      <c r="AM128" s="2">
        <f t="shared" si="112"/>
        <v>0</v>
      </c>
      <c r="AN128" s="2">
        <f t="shared" si="112"/>
        <v>0</v>
      </c>
      <c r="AO128" s="2">
        <f t="shared" si="112"/>
        <v>0</v>
      </c>
      <c r="AP128" s="2">
        <f t="shared" si="112"/>
        <v>0</v>
      </c>
      <c r="AQ128" s="2">
        <f t="shared" si="112"/>
        <v>0</v>
      </c>
      <c r="AR128" s="2">
        <f t="shared" si="112"/>
        <v>2302.79</v>
      </c>
      <c r="AS128" s="2">
        <f t="shared" si="112"/>
        <v>2302.79</v>
      </c>
      <c r="AT128" s="2">
        <f t="shared" si="112"/>
        <v>0</v>
      </c>
      <c r="AU128" s="2">
        <f t="shared" ref="AU128:BZ128" si="113">AU133</f>
        <v>0</v>
      </c>
      <c r="AV128" s="2">
        <f t="shared" si="113"/>
        <v>0</v>
      </c>
      <c r="AW128" s="2">
        <f t="shared" si="113"/>
        <v>0</v>
      </c>
      <c r="AX128" s="2">
        <f t="shared" si="113"/>
        <v>0</v>
      </c>
      <c r="AY128" s="2">
        <f t="shared" si="113"/>
        <v>0</v>
      </c>
      <c r="AZ128" s="2">
        <f t="shared" si="113"/>
        <v>0</v>
      </c>
      <c r="BA128" s="2">
        <f t="shared" si="113"/>
        <v>0</v>
      </c>
      <c r="BB128" s="2">
        <f t="shared" si="113"/>
        <v>0</v>
      </c>
      <c r="BC128" s="2">
        <f t="shared" si="113"/>
        <v>0</v>
      </c>
      <c r="BD128" s="2">
        <f t="shared" si="113"/>
        <v>2302.79</v>
      </c>
      <c r="BE128" s="2">
        <f t="shared" si="113"/>
        <v>0</v>
      </c>
      <c r="BF128" s="2">
        <f t="shared" si="113"/>
        <v>0</v>
      </c>
      <c r="BG128" s="2">
        <f t="shared" si="113"/>
        <v>0</v>
      </c>
      <c r="BH128" s="2">
        <f t="shared" si="113"/>
        <v>0</v>
      </c>
      <c r="BI128" s="2">
        <f t="shared" si="113"/>
        <v>0</v>
      </c>
      <c r="BJ128" s="2">
        <f t="shared" si="113"/>
        <v>0</v>
      </c>
      <c r="BK128" s="2">
        <f t="shared" si="113"/>
        <v>0</v>
      </c>
      <c r="BL128" s="2">
        <f t="shared" si="113"/>
        <v>0</v>
      </c>
      <c r="BM128" s="2">
        <f t="shared" si="113"/>
        <v>0</v>
      </c>
      <c r="BN128" s="2">
        <f t="shared" si="113"/>
        <v>0</v>
      </c>
      <c r="BO128" s="2">
        <f t="shared" si="113"/>
        <v>0</v>
      </c>
      <c r="BP128" s="2">
        <f t="shared" si="113"/>
        <v>0</v>
      </c>
      <c r="BQ128" s="2">
        <f t="shared" si="113"/>
        <v>0</v>
      </c>
      <c r="BR128" s="2">
        <f t="shared" si="113"/>
        <v>0</v>
      </c>
      <c r="BS128" s="2">
        <f t="shared" si="113"/>
        <v>0</v>
      </c>
      <c r="BT128" s="2">
        <f t="shared" si="113"/>
        <v>0</v>
      </c>
      <c r="BU128" s="2">
        <f t="shared" si="113"/>
        <v>0</v>
      </c>
      <c r="BV128" s="2">
        <f t="shared" si="113"/>
        <v>0</v>
      </c>
      <c r="BW128" s="2">
        <f t="shared" si="113"/>
        <v>0</v>
      </c>
      <c r="BX128" s="2">
        <f t="shared" si="113"/>
        <v>0</v>
      </c>
      <c r="BY128" s="2">
        <f t="shared" si="113"/>
        <v>0</v>
      </c>
      <c r="BZ128" s="2">
        <f t="shared" si="113"/>
        <v>0</v>
      </c>
      <c r="CA128" s="2">
        <f t="shared" ref="CA128:DF128" si="114">CA133</f>
        <v>2302.79</v>
      </c>
      <c r="CB128" s="2">
        <f t="shared" si="114"/>
        <v>2302.79</v>
      </c>
      <c r="CC128" s="2">
        <f t="shared" si="114"/>
        <v>0</v>
      </c>
      <c r="CD128" s="2">
        <f t="shared" si="114"/>
        <v>0</v>
      </c>
      <c r="CE128" s="2">
        <f t="shared" si="114"/>
        <v>0</v>
      </c>
      <c r="CF128" s="2">
        <f t="shared" si="114"/>
        <v>0</v>
      </c>
      <c r="CG128" s="2">
        <f t="shared" si="114"/>
        <v>0</v>
      </c>
      <c r="CH128" s="2">
        <f t="shared" si="114"/>
        <v>0</v>
      </c>
      <c r="CI128" s="2">
        <f t="shared" si="114"/>
        <v>0</v>
      </c>
      <c r="CJ128" s="2">
        <f t="shared" si="114"/>
        <v>0</v>
      </c>
      <c r="CK128" s="2">
        <f t="shared" si="114"/>
        <v>0</v>
      </c>
      <c r="CL128" s="2">
        <f t="shared" si="114"/>
        <v>0</v>
      </c>
      <c r="CM128" s="2">
        <f t="shared" si="114"/>
        <v>2302.79</v>
      </c>
      <c r="CN128" s="2">
        <f t="shared" si="114"/>
        <v>0</v>
      </c>
      <c r="CO128" s="2">
        <f t="shared" si="114"/>
        <v>0</v>
      </c>
      <c r="CP128" s="2">
        <f t="shared" si="114"/>
        <v>0</v>
      </c>
      <c r="CQ128" s="2">
        <f t="shared" si="114"/>
        <v>0</v>
      </c>
      <c r="CR128" s="2">
        <f t="shared" si="114"/>
        <v>0</v>
      </c>
      <c r="CS128" s="2">
        <f t="shared" si="114"/>
        <v>0</v>
      </c>
      <c r="CT128" s="2">
        <f t="shared" si="114"/>
        <v>0</v>
      </c>
      <c r="CU128" s="2">
        <f t="shared" si="114"/>
        <v>0</v>
      </c>
      <c r="CV128" s="2">
        <f t="shared" si="114"/>
        <v>0</v>
      </c>
      <c r="CW128" s="2">
        <f t="shared" si="114"/>
        <v>0</v>
      </c>
      <c r="CX128" s="2">
        <f t="shared" si="114"/>
        <v>0</v>
      </c>
      <c r="CY128" s="2">
        <f t="shared" si="114"/>
        <v>0</v>
      </c>
      <c r="CZ128" s="2">
        <f t="shared" si="114"/>
        <v>0</v>
      </c>
      <c r="DA128" s="2">
        <f t="shared" si="114"/>
        <v>0</v>
      </c>
      <c r="DB128" s="2">
        <f t="shared" si="114"/>
        <v>0</v>
      </c>
      <c r="DC128" s="2">
        <f t="shared" si="114"/>
        <v>0</v>
      </c>
      <c r="DD128" s="2">
        <f t="shared" si="114"/>
        <v>0</v>
      </c>
      <c r="DE128" s="2">
        <f t="shared" si="114"/>
        <v>0</v>
      </c>
      <c r="DF128" s="2">
        <f t="shared" si="114"/>
        <v>0</v>
      </c>
      <c r="DG128" s="3">
        <f t="shared" ref="DG128:EL128" si="115">DG133</f>
        <v>0</v>
      </c>
      <c r="DH128" s="3">
        <f t="shared" si="115"/>
        <v>0</v>
      </c>
      <c r="DI128" s="3">
        <f t="shared" si="115"/>
        <v>0</v>
      </c>
      <c r="DJ128" s="3">
        <f t="shared" si="115"/>
        <v>0</v>
      </c>
      <c r="DK128" s="3">
        <f t="shared" si="115"/>
        <v>0</v>
      </c>
      <c r="DL128" s="3">
        <f t="shared" si="115"/>
        <v>0</v>
      </c>
      <c r="DM128" s="3">
        <f t="shared" si="115"/>
        <v>0</v>
      </c>
      <c r="DN128" s="3">
        <f t="shared" si="115"/>
        <v>0</v>
      </c>
      <c r="DO128" s="3">
        <f t="shared" si="115"/>
        <v>0</v>
      </c>
      <c r="DP128" s="3">
        <f t="shared" si="115"/>
        <v>0</v>
      </c>
      <c r="DQ128" s="3">
        <f t="shared" si="115"/>
        <v>0</v>
      </c>
      <c r="DR128" s="3">
        <f t="shared" si="115"/>
        <v>0</v>
      </c>
      <c r="DS128" s="3">
        <f t="shared" si="115"/>
        <v>0</v>
      </c>
      <c r="DT128" s="3">
        <f t="shared" si="115"/>
        <v>0</v>
      </c>
      <c r="DU128" s="3">
        <f t="shared" si="115"/>
        <v>0</v>
      </c>
      <c r="DV128" s="3">
        <f t="shared" si="115"/>
        <v>0</v>
      </c>
      <c r="DW128" s="3">
        <f t="shared" si="115"/>
        <v>0</v>
      </c>
      <c r="DX128" s="3">
        <f t="shared" si="115"/>
        <v>0</v>
      </c>
      <c r="DY128" s="3">
        <f t="shared" si="115"/>
        <v>0</v>
      </c>
      <c r="DZ128" s="3">
        <f t="shared" si="115"/>
        <v>0</v>
      </c>
      <c r="EA128" s="3">
        <f t="shared" si="115"/>
        <v>0</v>
      </c>
      <c r="EB128" s="3">
        <f t="shared" si="115"/>
        <v>0</v>
      </c>
      <c r="EC128" s="3">
        <f t="shared" si="115"/>
        <v>0</v>
      </c>
      <c r="ED128" s="3">
        <f t="shared" si="115"/>
        <v>0</v>
      </c>
      <c r="EE128" s="3">
        <f t="shared" si="115"/>
        <v>0</v>
      </c>
      <c r="EF128" s="3">
        <f t="shared" si="115"/>
        <v>0</v>
      </c>
      <c r="EG128" s="3">
        <f t="shared" si="115"/>
        <v>0</v>
      </c>
      <c r="EH128" s="3">
        <f t="shared" si="115"/>
        <v>0</v>
      </c>
      <c r="EI128" s="3">
        <f t="shared" si="115"/>
        <v>0</v>
      </c>
      <c r="EJ128" s="3">
        <f t="shared" si="115"/>
        <v>0</v>
      </c>
      <c r="EK128" s="3">
        <f t="shared" si="115"/>
        <v>0</v>
      </c>
      <c r="EL128" s="3">
        <f t="shared" si="115"/>
        <v>0</v>
      </c>
      <c r="EM128" s="3">
        <f t="shared" ref="EM128:FR128" si="116">EM133</f>
        <v>0</v>
      </c>
      <c r="EN128" s="3">
        <f t="shared" si="116"/>
        <v>0</v>
      </c>
      <c r="EO128" s="3">
        <f t="shared" si="116"/>
        <v>0</v>
      </c>
      <c r="EP128" s="3">
        <f t="shared" si="116"/>
        <v>0</v>
      </c>
      <c r="EQ128" s="3">
        <f t="shared" si="116"/>
        <v>0</v>
      </c>
      <c r="ER128" s="3">
        <f t="shared" si="116"/>
        <v>0</v>
      </c>
      <c r="ES128" s="3">
        <f t="shared" si="116"/>
        <v>0</v>
      </c>
      <c r="ET128" s="3">
        <f t="shared" si="116"/>
        <v>0</v>
      </c>
      <c r="EU128" s="3">
        <f t="shared" si="116"/>
        <v>0</v>
      </c>
      <c r="EV128" s="3">
        <f t="shared" si="116"/>
        <v>0</v>
      </c>
      <c r="EW128" s="3">
        <f t="shared" si="116"/>
        <v>0</v>
      </c>
      <c r="EX128" s="3">
        <f t="shared" si="116"/>
        <v>0</v>
      </c>
      <c r="EY128" s="3">
        <f t="shared" si="116"/>
        <v>0</v>
      </c>
      <c r="EZ128" s="3">
        <f t="shared" si="116"/>
        <v>0</v>
      </c>
      <c r="FA128" s="3">
        <f t="shared" si="116"/>
        <v>0</v>
      </c>
      <c r="FB128" s="3">
        <f t="shared" si="116"/>
        <v>0</v>
      </c>
      <c r="FC128" s="3">
        <f t="shared" si="116"/>
        <v>0</v>
      </c>
      <c r="FD128" s="3">
        <f t="shared" si="116"/>
        <v>0</v>
      </c>
      <c r="FE128" s="3">
        <f t="shared" si="116"/>
        <v>0</v>
      </c>
      <c r="FF128" s="3">
        <f t="shared" si="116"/>
        <v>0</v>
      </c>
      <c r="FG128" s="3">
        <f t="shared" si="116"/>
        <v>0</v>
      </c>
      <c r="FH128" s="3">
        <f t="shared" si="116"/>
        <v>0</v>
      </c>
      <c r="FI128" s="3">
        <f t="shared" si="116"/>
        <v>0</v>
      </c>
      <c r="FJ128" s="3">
        <f t="shared" si="116"/>
        <v>0</v>
      </c>
      <c r="FK128" s="3">
        <f t="shared" si="116"/>
        <v>0</v>
      </c>
      <c r="FL128" s="3">
        <f t="shared" si="116"/>
        <v>0</v>
      </c>
      <c r="FM128" s="3">
        <f t="shared" si="116"/>
        <v>0</v>
      </c>
      <c r="FN128" s="3">
        <f t="shared" si="116"/>
        <v>0</v>
      </c>
      <c r="FO128" s="3">
        <f t="shared" si="116"/>
        <v>0</v>
      </c>
      <c r="FP128" s="3">
        <f t="shared" si="116"/>
        <v>0</v>
      </c>
      <c r="FQ128" s="3">
        <f t="shared" si="116"/>
        <v>0</v>
      </c>
      <c r="FR128" s="3">
        <f t="shared" si="116"/>
        <v>0</v>
      </c>
      <c r="FS128" s="3">
        <f t="shared" ref="FS128:GX128" si="117">FS133</f>
        <v>0</v>
      </c>
      <c r="FT128" s="3">
        <f t="shared" si="117"/>
        <v>0</v>
      </c>
      <c r="FU128" s="3">
        <f t="shared" si="117"/>
        <v>0</v>
      </c>
      <c r="FV128" s="3">
        <f t="shared" si="117"/>
        <v>0</v>
      </c>
      <c r="FW128" s="3">
        <f t="shared" si="117"/>
        <v>0</v>
      </c>
      <c r="FX128" s="3">
        <f t="shared" si="117"/>
        <v>0</v>
      </c>
      <c r="FY128" s="3">
        <f t="shared" si="117"/>
        <v>0</v>
      </c>
      <c r="FZ128" s="3">
        <f t="shared" si="117"/>
        <v>0</v>
      </c>
      <c r="GA128" s="3">
        <f t="shared" si="117"/>
        <v>0</v>
      </c>
      <c r="GB128" s="3">
        <f t="shared" si="117"/>
        <v>0</v>
      </c>
      <c r="GC128" s="3">
        <f t="shared" si="117"/>
        <v>0</v>
      </c>
      <c r="GD128" s="3">
        <f t="shared" si="117"/>
        <v>0</v>
      </c>
      <c r="GE128" s="3">
        <f t="shared" si="117"/>
        <v>0</v>
      </c>
      <c r="GF128" s="3">
        <f t="shared" si="117"/>
        <v>0</v>
      </c>
      <c r="GG128" s="3">
        <f t="shared" si="117"/>
        <v>0</v>
      </c>
      <c r="GH128" s="3">
        <f t="shared" si="117"/>
        <v>0</v>
      </c>
      <c r="GI128" s="3">
        <f t="shared" si="117"/>
        <v>0</v>
      </c>
      <c r="GJ128" s="3">
        <f t="shared" si="117"/>
        <v>0</v>
      </c>
      <c r="GK128" s="3">
        <f t="shared" si="117"/>
        <v>0</v>
      </c>
      <c r="GL128" s="3">
        <f t="shared" si="117"/>
        <v>0</v>
      </c>
      <c r="GM128" s="3">
        <f t="shared" si="117"/>
        <v>0</v>
      </c>
      <c r="GN128" s="3">
        <f t="shared" si="117"/>
        <v>0</v>
      </c>
      <c r="GO128" s="3">
        <f t="shared" si="117"/>
        <v>0</v>
      </c>
      <c r="GP128" s="3">
        <f t="shared" si="117"/>
        <v>0</v>
      </c>
      <c r="GQ128" s="3">
        <f t="shared" si="117"/>
        <v>0</v>
      </c>
      <c r="GR128" s="3">
        <f t="shared" si="117"/>
        <v>0</v>
      </c>
      <c r="GS128" s="3">
        <f t="shared" si="117"/>
        <v>0</v>
      </c>
      <c r="GT128" s="3">
        <f t="shared" si="117"/>
        <v>0</v>
      </c>
      <c r="GU128" s="3">
        <f t="shared" si="117"/>
        <v>0</v>
      </c>
      <c r="GV128" s="3">
        <f t="shared" si="117"/>
        <v>0</v>
      </c>
      <c r="GW128" s="3">
        <f t="shared" si="117"/>
        <v>0</v>
      </c>
      <c r="GX128" s="3">
        <f t="shared" si="117"/>
        <v>0</v>
      </c>
    </row>
    <row r="130" spans="1:245" x14ac:dyDescent="0.2">
      <c r="A130">
        <v>17</v>
      </c>
      <c r="B130">
        <v>1</v>
      </c>
      <c r="E130" t="s">
        <v>212</v>
      </c>
      <c r="F130" t="s">
        <v>213</v>
      </c>
      <c r="G130" t="s">
        <v>214</v>
      </c>
      <c r="H130" t="s">
        <v>215</v>
      </c>
      <c r="I130">
        <f>ROUND(4.37,4)</f>
        <v>4.37</v>
      </c>
      <c r="J130">
        <v>0</v>
      </c>
      <c r="O130">
        <f>0</f>
        <v>0</v>
      </c>
      <c r="P130">
        <f>0</f>
        <v>0</v>
      </c>
      <c r="Q130">
        <f>0</f>
        <v>0</v>
      </c>
      <c r="R130">
        <f>0</f>
        <v>0</v>
      </c>
      <c r="S130">
        <f>0</f>
        <v>0</v>
      </c>
      <c r="T130">
        <f>0</f>
        <v>0</v>
      </c>
      <c r="U130">
        <f>0</f>
        <v>0</v>
      </c>
      <c r="V130">
        <f>0</f>
        <v>0</v>
      </c>
      <c r="W130">
        <f>0</f>
        <v>0</v>
      </c>
      <c r="X130">
        <f>0</f>
        <v>0</v>
      </c>
      <c r="Y130">
        <f>0</f>
        <v>0</v>
      </c>
      <c r="AA130">
        <v>96554872</v>
      </c>
      <c r="AB130">
        <f>ROUND((AK130),2)</f>
        <v>42.98</v>
      </c>
      <c r="AC130">
        <f>0</f>
        <v>0</v>
      </c>
      <c r="AD130">
        <f>0</f>
        <v>0</v>
      </c>
      <c r="AE130">
        <f>0</f>
        <v>0</v>
      </c>
      <c r="AF130">
        <f>0</f>
        <v>0</v>
      </c>
      <c r="AG130">
        <f>0</f>
        <v>0</v>
      </c>
      <c r="AH130">
        <f>0</f>
        <v>0</v>
      </c>
      <c r="AI130">
        <f>0</f>
        <v>0</v>
      </c>
      <c r="AJ130">
        <f>0</f>
        <v>0</v>
      </c>
      <c r="AK130">
        <v>42.98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1</v>
      </c>
      <c r="AW130">
        <v>1</v>
      </c>
      <c r="AZ130">
        <v>7.73</v>
      </c>
      <c r="BA130">
        <v>1</v>
      </c>
      <c r="BB130">
        <v>1</v>
      </c>
      <c r="BC130">
        <v>1</v>
      </c>
      <c r="BD130" t="s">
        <v>3</v>
      </c>
      <c r="BE130" t="s">
        <v>3</v>
      </c>
      <c r="BF130" t="s">
        <v>3</v>
      </c>
      <c r="BG130" t="s">
        <v>3</v>
      </c>
      <c r="BH130">
        <v>0</v>
      </c>
      <c r="BI130">
        <v>1</v>
      </c>
      <c r="BJ130" t="s">
        <v>216</v>
      </c>
      <c r="BM130">
        <v>700004</v>
      </c>
      <c r="BN130">
        <v>0</v>
      </c>
      <c r="BO130" t="s">
        <v>20</v>
      </c>
      <c r="BP130">
        <v>1</v>
      </c>
      <c r="BQ130">
        <v>19</v>
      </c>
      <c r="BR130">
        <v>0</v>
      </c>
      <c r="BS130">
        <v>1</v>
      </c>
      <c r="BT130">
        <v>1</v>
      </c>
      <c r="BU130">
        <v>1</v>
      </c>
      <c r="BV130">
        <v>1</v>
      </c>
      <c r="BW130">
        <v>1</v>
      </c>
      <c r="BX130">
        <v>1</v>
      </c>
      <c r="BY130" t="s">
        <v>3</v>
      </c>
      <c r="BZ130">
        <v>0</v>
      </c>
      <c r="CA130">
        <v>0</v>
      </c>
      <c r="CE130">
        <v>0</v>
      </c>
      <c r="CF130">
        <v>0</v>
      </c>
      <c r="CG130">
        <v>0</v>
      </c>
      <c r="CM130">
        <v>0</v>
      </c>
      <c r="CN130" t="s">
        <v>3</v>
      </c>
      <c r="CO130">
        <v>0</v>
      </c>
      <c r="CP130">
        <f>AB130*AZ130</f>
        <v>332.23539999999997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C130" t="s">
        <v>3</v>
      </c>
      <c r="DD130" t="s">
        <v>3</v>
      </c>
      <c r="DE130" t="s">
        <v>3</v>
      </c>
      <c r="DF130" t="s">
        <v>3</v>
      </c>
      <c r="DG130" t="s">
        <v>3</v>
      </c>
      <c r="DH130" t="s">
        <v>3</v>
      </c>
      <c r="DI130" t="s">
        <v>3</v>
      </c>
      <c r="DJ130" t="s">
        <v>3</v>
      </c>
      <c r="DK130" t="s">
        <v>3</v>
      </c>
      <c r="DL130" t="s">
        <v>3</v>
      </c>
      <c r="DM130" t="s">
        <v>3</v>
      </c>
      <c r="DN130">
        <v>0</v>
      </c>
      <c r="DO130">
        <v>0</v>
      </c>
      <c r="DP130">
        <v>1</v>
      </c>
      <c r="DQ130">
        <v>1</v>
      </c>
      <c r="DU130">
        <v>1013</v>
      </c>
      <c r="DV130" t="s">
        <v>215</v>
      </c>
      <c r="DW130" t="s">
        <v>215</v>
      </c>
      <c r="DX130">
        <v>1</v>
      </c>
      <c r="DZ130" t="s">
        <v>3</v>
      </c>
      <c r="EA130" t="s">
        <v>3</v>
      </c>
      <c r="EB130" t="s">
        <v>3</v>
      </c>
      <c r="EC130" t="s">
        <v>3</v>
      </c>
      <c r="EE130">
        <v>94243666</v>
      </c>
      <c r="EF130">
        <v>19</v>
      </c>
      <c r="EG130" t="s">
        <v>217</v>
      </c>
      <c r="EH130">
        <v>0</v>
      </c>
      <c r="EI130" t="s">
        <v>3</v>
      </c>
      <c r="EJ130">
        <v>1</v>
      </c>
      <c r="EK130">
        <v>700004</v>
      </c>
      <c r="EL130" t="s">
        <v>218</v>
      </c>
      <c r="EM130" t="s">
        <v>219</v>
      </c>
      <c r="EO130" t="s">
        <v>3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FQ130">
        <v>0</v>
      </c>
      <c r="FR130">
        <f>ROUND(IF(AND(BH130=3,BI130=3),P130,0),2)</f>
        <v>0</v>
      </c>
      <c r="FS130">
        <v>0</v>
      </c>
      <c r="FX130">
        <v>0</v>
      </c>
      <c r="FY130">
        <v>0</v>
      </c>
      <c r="GA130" t="s">
        <v>3</v>
      </c>
      <c r="GD130">
        <v>1</v>
      </c>
      <c r="GF130">
        <v>-548075358</v>
      </c>
      <c r="GG130">
        <v>1</v>
      </c>
      <c r="GH130">
        <v>1</v>
      </c>
      <c r="GI130">
        <v>4</v>
      </c>
      <c r="GJ130">
        <v>2</v>
      </c>
      <c r="GK130">
        <v>0</v>
      </c>
      <c r="GL130">
        <f>ROUND(IF(AND(BH130=3,BI130=3,FS130&lt;&gt;0),P130,0),2)</f>
        <v>0</v>
      </c>
      <c r="GM130">
        <f>ROUND(CP130*I130,2)</f>
        <v>1451.87</v>
      </c>
      <c r="GN130">
        <f>IF(OR(BI130=0,BI130=1),ROUND(CP130*I130,2),0)</f>
        <v>1451.87</v>
      </c>
      <c r="GO130">
        <f>IF(BI130=2,ROUND(CP130*I130,2),0)</f>
        <v>0</v>
      </c>
      <c r="GP130">
        <f>IF(BI130=4,ROUND(CP130*I130,2)+GX130,0)</f>
        <v>0</v>
      </c>
      <c r="GR130">
        <v>0</v>
      </c>
      <c r="GS130">
        <v>3</v>
      </c>
      <c r="GT130">
        <v>0</v>
      </c>
      <c r="GU130" t="s">
        <v>3</v>
      </c>
      <c r="GV130">
        <f>0</f>
        <v>0</v>
      </c>
      <c r="GW130">
        <v>1</v>
      </c>
      <c r="GX130">
        <f>0</f>
        <v>0</v>
      </c>
      <c r="HA130">
        <v>0</v>
      </c>
      <c r="HB130">
        <v>0</v>
      </c>
      <c r="HC130">
        <v>0</v>
      </c>
      <c r="HD130">
        <f>GM130</f>
        <v>1451.87</v>
      </c>
      <c r="HE130" t="s">
        <v>3</v>
      </c>
      <c r="HF130" t="s">
        <v>3</v>
      </c>
      <c r="IK130">
        <v>0</v>
      </c>
    </row>
    <row r="131" spans="1:245" x14ac:dyDescent="0.2">
      <c r="A131">
        <v>17</v>
      </c>
      <c r="B131">
        <v>1</v>
      </c>
      <c r="E131" t="s">
        <v>220</v>
      </c>
      <c r="F131" t="s">
        <v>221</v>
      </c>
      <c r="G131" t="s">
        <v>222</v>
      </c>
      <c r="H131" t="s">
        <v>215</v>
      </c>
      <c r="I131">
        <f>ROUND(4.37,4)</f>
        <v>4.37</v>
      </c>
      <c r="J131">
        <v>0</v>
      </c>
      <c r="O131">
        <f>0</f>
        <v>0</v>
      </c>
      <c r="P131">
        <f>0</f>
        <v>0</v>
      </c>
      <c r="Q131">
        <f>0</f>
        <v>0</v>
      </c>
      <c r="R131">
        <f>0</f>
        <v>0</v>
      </c>
      <c r="S131">
        <f>0</f>
        <v>0</v>
      </c>
      <c r="T131">
        <f>0</f>
        <v>0</v>
      </c>
      <c r="U131">
        <f>0</f>
        <v>0</v>
      </c>
      <c r="V131">
        <f>0</f>
        <v>0</v>
      </c>
      <c r="W131">
        <f>0</f>
        <v>0</v>
      </c>
      <c r="X131">
        <f>0</f>
        <v>0</v>
      </c>
      <c r="Y131">
        <f>0</f>
        <v>0</v>
      </c>
      <c r="AA131">
        <v>96554872</v>
      </c>
      <c r="AB131">
        <f>ROUND((AK131),2)</f>
        <v>25.19</v>
      </c>
      <c r="AC131">
        <f>0</f>
        <v>0</v>
      </c>
      <c r="AD131">
        <f>0</f>
        <v>0</v>
      </c>
      <c r="AE131">
        <f>0</f>
        <v>0</v>
      </c>
      <c r="AF131">
        <f>0</f>
        <v>0</v>
      </c>
      <c r="AG131">
        <f>0</f>
        <v>0</v>
      </c>
      <c r="AH131">
        <f>0</f>
        <v>0</v>
      </c>
      <c r="AI131">
        <f>0</f>
        <v>0</v>
      </c>
      <c r="AJ131">
        <f>0</f>
        <v>0</v>
      </c>
      <c r="AK131">
        <v>25.19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1</v>
      </c>
      <c r="AW131">
        <v>1</v>
      </c>
      <c r="AZ131">
        <v>7.73</v>
      </c>
      <c r="BA131">
        <v>1</v>
      </c>
      <c r="BB131">
        <v>1</v>
      </c>
      <c r="BC131">
        <v>1</v>
      </c>
      <c r="BD131" t="s">
        <v>3</v>
      </c>
      <c r="BE131" t="s">
        <v>3</v>
      </c>
      <c r="BF131" t="s">
        <v>3</v>
      </c>
      <c r="BG131" t="s">
        <v>3</v>
      </c>
      <c r="BH131">
        <v>0</v>
      </c>
      <c r="BI131">
        <v>1</v>
      </c>
      <c r="BJ131" t="s">
        <v>223</v>
      </c>
      <c r="BM131">
        <v>700005</v>
      </c>
      <c r="BN131">
        <v>0</v>
      </c>
      <c r="BO131" t="s">
        <v>20</v>
      </c>
      <c r="BP131">
        <v>1</v>
      </c>
      <c r="BQ131">
        <v>10</v>
      </c>
      <c r="BR131">
        <v>0</v>
      </c>
      <c r="BS131">
        <v>1</v>
      </c>
      <c r="BT131">
        <v>1</v>
      </c>
      <c r="BU131">
        <v>1</v>
      </c>
      <c r="BV131">
        <v>1</v>
      </c>
      <c r="BW131">
        <v>1</v>
      </c>
      <c r="BX131">
        <v>1</v>
      </c>
      <c r="BY131" t="s">
        <v>3</v>
      </c>
      <c r="BZ131">
        <v>0</v>
      </c>
      <c r="CA131">
        <v>0</v>
      </c>
      <c r="CE131">
        <v>0</v>
      </c>
      <c r="CF131">
        <v>0</v>
      </c>
      <c r="CG131">
        <v>0</v>
      </c>
      <c r="CM131">
        <v>0</v>
      </c>
      <c r="CN131" t="s">
        <v>3</v>
      </c>
      <c r="CO131">
        <v>0</v>
      </c>
      <c r="CP131">
        <f>AB131*AZ131</f>
        <v>194.71870000000001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C131" t="s">
        <v>3</v>
      </c>
      <c r="DD131" t="s">
        <v>3</v>
      </c>
      <c r="DE131" t="s">
        <v>3</v>
      </c>
      <c r="DF131" t="s">
        <v>3</v>
      </c>
      <c r="DG131" t="s">
        <v>3</v>
      </c>
      <c r="DH131" t="s">
        <v>3</v>
      </c>
      <c r="DI131" t="s">
        <v>3</v>
      </c>
      <c r="DJ131" t="s">
        <v>3</v>
      </c>
      <c r="DK131" t="s">
        <v>3</v>
      </c>
      <c r="DL131" t="s">
        <v>3</v>
      </c>
      <c r="DM131" t="s">
        <v>3</v>
      </c>
      <c r="DN131">
        <v>0</v>
      </c>
      <c r="DO131">
        <v>0</v>
      </c>
      <c r="DP131">
        <v>1</v>
      </c>
      <c r="DQ131">
        <v>1</v>
      </c>
      <c r="DU131">
        <v>1013</v>
      </c>
      <c r="DV131" t="s">
        <v>215</v>
      </c>
      <c r="DW131" t="s">
        <v>215</v>
      </c>
      <c r="DX131">
        <v>1</v>
      </c>
      <c r="DZ131" t="s">
        <v>3</v>
      </c>
      <c r="EA131" t="s">
        <v>3</v>
      </c>
      <c r="EB131" t="s">
        <v>3</v>
      </c>
      <c r="EC131" t="s">
        <v>3</v>
      </c>
      <c r="EE131">
        <v>94243670</v>
      </c>
      <c r="EF131">
        <v>10</v>
      </c>
      <c r="EG131" t="s">
        <v>224</v>
      </c>
      <c r="EH131">
        <v>0</v>
      </c>
      <c r="EI131" t="s">
        <v>3</v>
      </c>
      <c r="EJ131">
        <v>1</v>
      </c>
      <c r="EK131">
        <v>700005</v>
      </c>
      <c r="EL131" t="s">
        <v>225</v>
      </c>
      <c r="EM131" t="s">
        <v>226</v>
      </c>
      <c r="EO131" t="s">
        <v>3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FQ131">
        <v>0</v>
      </c>
      <c r="FR131">
        <f>ROUND(IF(AND(BH131=3,BI131=3),P131,0),2)</f>
        <v>0</v>
      </c>
      <c r="FS131">
        <v>0</v>
      </c>
      <c r="FX131">
        <v>0</v>
      </c>
      <c r="FY131">
        <v>0</v>
      </c>
      <c r="GA131" t="s">
        <v>3</v>
      </c>
      <c r="GD131">
        <v>1</v>
      </c>
      <c r="GF131">
        <v>-891540675</v>
      </c>
      <c r="GG131">
        <v>1</v>
      </c>
      <c r="GH131">
        <v>1</v>
      </c>
      <c r="GI131">
        <v>4</v>
      </c>
      <c r="GJ131">
        <v>2</v>
      </c>
      <c r="GK131">
        <v>0</v>
      </c>
      <c r="GL131">
        <f>ROUND(IF(AND(BH131=3,BI131=3,FS131&lt;&gt;0),P131,0),2)</f>
        <v>0</v>
      </c>
      <c r="GM131">
        <f>ROUND(CP131*I131,2)</f>
        <v>850.92</v>
      </c>
      <c r="GN131">
        <f>IF(OR(BI131=0,BI131=1),ROUND(CP131*I131,2),0)</f>
        <v>850.92</v>
      </c>
      <c r="GO131">
        <f>IF(BI131=2,ROUND(CP131*I131,2),0)</f>
        <v>0</v>
      </c>
      <c r="GP131">
        <f>IF(BI131=4,ROUND(CP131*I131,2)+GX131,0)</f>
        <v>0</v>
      </c>
      <c r="GR131">
        <v>0</v>
      </c>
      <c r="GS131">
        <v>3</v>
      </c>
      <c r="GT131">
        <v>0</v>
      </c>
      <c r="GU131" t="s">
        <v>3</v>
      </c>
      <c r="GV131">
        <f>0</f>
        <v>0</v>
      </c>
      <c r="GW131">
        <v>1</v>
      </c>
      <c r="GX131">
        <f>0</f>
        <v>0</v>
      </c>
      <c r="HA131">
        <v>0</v>
      </c>
      <c r="HB131">
        <v>0</v>
      </c>
      <c r="HC131">
        <v>0</v>
      </c>
      <c r="HD131">
        <f>GM131</f>
        <v>850.92</v>
      </c>
      <c r="HE131" t="s">
        <v>3</v>
      </c>
      <c r="HF131" t="s">
        <v>3</v>
      </c>
      <c r="IK131">
        <v>0</v>
      </c>
    </row>
    <row r="133" spans="1:245" x14ac:dyDescent="0.2">
      <c r="A133" s="2">
        <v>51</v>
      </c>
      <c r="B133" s="2">
        <f>B126</f>
        <v>1</v>
      </c>
      <c r="C133" s="2">
        <f>A126</f>
        <v>4</v>
      </c>
      <c r="D133" s="2">
        <f>ROW(A126)</f>
        <v>126</v>
      </c>
      <c r="E133" s="2"/>
      <c r="F133" s="2" t="str">
        <f>IF(F126&lt;&gt;"",F126,"")</f>
        <v>Новый раздел</v>
      </c>
      <c r="G133" s="2" t="str">
        <f>IF(G126&lt;&gt;"",G126,"")</f>
        <v>Вывоз мусора</v>
      </c>
      <c r="H133" s="2">
        <v>0</v>
      </c>
      <c r="I133" s="2"/>
      <c r="J133" s="2"/>
      <c r="K133" s="2"/>
      <c r="L133" s="2"/>
      <c r="M133" s="2"/>
      <c r="N133" s="2"/>
      <c r="O133" s="2">
        <f t="shared" ref="O133:T133" si="118">ROUND(AB133,2)</f>
        <v>0</v>
      </c>
      <c r="P133" s="2">
        <f t="shared" si="118"/>
        <v>0</v>
      </c>
      <c r="Q133" s="2">
        <f t="shared" si="118"/>
        <v>0</v>
      </c>
      <c r="R133" s="2">
        <f t="shared" si="118"/>
        <v>0</v>
      </c>
      <c r="S133" s="2">
        <f t="shared" si="118"/>
        <v>0</v>
      </c>
      <c r="T133" s="2">
        <f t="shared" si="118"/>
        <v>0</v>
      </c>
      <c r="U133" s="2">
        <f>AH133</f>
        <v>0</v>
      </c>
      <c r="V133" s="2">
        <f>AI133</f>
        <v>0</v>
      </c>
      <c r="W133" s="2">
        <f>ROUND(AJ133,2)</f>
        <v>0</v>
      </c>
      <c r="X133" s="2">
        <f>ROUND(AK133,2)</f>
        <v>0</v>
      </c>
      <c r="Y133" s="2">
        <f>ROUND(AL133,2)</f>
        <v>0</v>
      </c>
      <c r="Z133" s="2"/>
      <c r="AA133" s="2"/>
      <c r="AB133" s="2">
        <f>ROUND(SUMIF(AA130:AA131,"=96554872",O130:O131),2)</f>
        <v>0</v>
      </c>
      <c r="AC133" s="2">
        <f>ROUND(SUMIF(AA130:AA131,"=96554872",P130:P131),2)</f>
        <v>0</v>
      </c>
      <c r="AD133" s="2">
        <f>ROUND(SUMIF(AA130:AA131,"=96554872",Q130:Q131),2)</f>
        <v>0</v>
      </c>
      <c r="AE133" s="2">
        <f>ROUND(SUMIF(AA130:AA131,"=96554872",R130:R131),2)</f>
        <v>0</v>
      </c>
      <c r="AF133" s="2">
        <f>ROUND(SUMIF(AA130:AA131,"=96554872",S130:S131),2)</f>
        <v>0</v>
      </c>
      <c r="AG133" s="2">
        <f>ROUND(SUMIF(AA130:AA131,"=96554872",T130:T131),2)</f>
        <v>0</v>
      </c>
      <c r="AH133" s="2">
        <f>SUMIF(AA130:AA131,"=96554872",U130:U131)</f>
        <v>0</v>
      </c>
      <c r="AI133" s="2">
        <f>SUMIF(AA130:AA131,"=96554872",V130:V131)</f>
        <v>0</v>
      </c>
      <c r="AJ133" s="2">
        <f>ROUND(SUMIF(AA130:AA131,"=96554872",W130:W131),2)</f>
        <v>0</v>
      </c>
      <c r="AK133" s="2">
        <f>ROUND(SUMIF(AA130:AA131,"=96554872",X130:X131),2)</f>
        <v>0</v>
      </c>
      <c r="AL133" s="2">
        <f>ROUND(SUMIF(AA130:AA131,"=96554872",Y130:Y131),2)</f>
        <v>0</v>
      </c>
      <c r="AM133" s="2"/>
      <c r="AN133" s="2"/>
      <c r="AO133" s="2">
        <f t="shared" ref="AO133:BD133" si="119">ROUND(BX133,2)</f>
        <v>0</v>
      </c>
      <c r="AP133" s="2">
        <f t="shared" si="119"/>
        <v>0</v>
      </c>
      <c r="AQ133" s="2">
        <f t="shared" si="119"/>
        <v>0</v>
      </c>
      <c r="AR133" s="2">
        <f t="shared" si="119"/>
        <v>2302.79</v>
      </c>
      <c r="AS133" s="2">
        <f t="shared" si="119"/>
        <v>2302.79</v>
      </c>
      <c r="AT133" s="2">
        <f t="shared" si="119"/>
        <v>0</v>
      </c>
      <c r="AU133" s="2">
        <f t="shared" si="119"/>
        <v>0</v>
      </c>
      <c r="AV133" s="2">
        <f t="shared" si="119"/>
        <v>0</v>
      </c>
      <c r="AW133" s="2">
        <f t="shared" si="119"/>
        <v>0</v>
      </c>
      <c r="AX133" s="2">
        <f t="shared" si="119"/>
        <v>0</v>
      </c>
      <c r="AY133" s="2">
        <f t="shared" si="119"/>
        <v>0</v>
      </c>
      <c r="AZ133" s="2">
        <f t="shared" si="119"/>
        <v>0</v>
      </c>
      <c r="BA133" s="2">
        <f t="shared" si="119"/>
        <v>0</v>
      </c>
      <c r="BB133" s="2">
        <f t="shared" si="119"/>
        <v>0</v>
      </c>
      <c r="BC133" s="2">
        <f t="shared" si="119"/>
        <v>0</v>
      </c>
      <c r="BD133" s="2">
        <f t="shared" si="119"/>
        <v>2302.79</v>
      </c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>
        <f>ROUND(SUMIF(AA130:AA131,"=96554872",FQ130:FQ131),2)</f>
        <v>0</v>
      </c>
      <c r="BY133" s="2">
        <f>ROUND(SUMIF(AA130:AA131,"=96554872",FR130:FR131),2)</f>
        <v>0</v>
      </c>
      <c r="BZ133" s="2">
        <f>ROUND(SUMIF(AA130:AA131,"=96554872",GL130:GL131),2)</f>
        <v>0</v>
      </c>
      <c r="CA133" s="2">
        <f>ROUND(SUMIF(AA130:AA131,"=96554872",GM130:GM131),2)</f>
        <v>2302.79</v>
      </c>
      <c r="CB133" s="2">
        <f>ROUND(SUMIF(AA130:AA131,"=96554872",GN130:GN131),2)</f>
        <v>2302.79</v>
      </c>
      <c r="CC133" s="2">
        <f>ROUND(SUMIF(AA130:AA131,"=96554872",GO130:GO131),2)</f>
        <v>0</v>
      </c>
      <c r="CD133" s="2">
        <f>ROUND(SUMIF(AA130:AA131,"=96554872",GP130:GP131),2)</f>
        <v>0</v>
      </c>
      <c r="CE133" s="2">
        <f>AC133-BX133</f>
        <v>0</v>
      </c>
      <c r="CF133" s="2">
        <f>AC133-BY133</f>
        <v>0</v>
      </c>
      <c r="CG133" s="2">
        <f>BX133-BZ133</f>
        <v>0</v>
      </c>
      <c r="CH133" s="2">
        <f>AC133-BX133-BY133+BZ133</f>
        <v>0</v>
      </c>
      <c r="CI133" s="2">
        <f>BY133-BZ133</f>
        <v>0</v>
      </c>
      <c r="CJ133" s="2">
        <f>ROUND(SUMIF(AA130:AA131,"=96554872",GX130:GX131),2)</f>
        <v>0</v>
      </c>
      <c r="CK133" s="2">
        <f>ROUND(SUMIF(AA130:AA131,"=96554872",GY130:GY131),2)</f>
        <v>0</v>
      </c>
      <c r="CL133" s="2">
        <f>ROUND(SUMIF(AA130:AA131,"=96554872",GZ130:GZ131),2)</f>
        <v>0</v>
      </c>
      <c r="CM133" s="2">
        <f>ROUND(SUMIF(AA130:AA131,"=96554872",HD130:HD131),2)</f>
        <v>2302.79</v>
      </c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>
        <v>0</v>
      </c>
    </row>
    <row r="135" spans="1:245" x14ac:dyDescent="0.2">
      <c r="A135" s="4">
        <v>50</v>
      </c>
      <c r="B135" s="4">
        <v>0</v>
      </c>
      <c r="C135" s="4">
        <v>0</v>
      </c>
      <c r="D135" s="4">
        <v>1</v>
      </c>
      <c r="E135" s="4">
        <v>201</v>
      </c>
      <c r="F135" s="4">
        <f>ROUND(Source!O133,O135)</f>
        <v>0</v>
      </c>
      <c r="G135" s="4" t="s">
        <v>55</v>
      </c>
      <c r="H135" s="4" t="s">
        <v>56</v>
      </c>
      <c r="I135" s="4"/>
      <c r="J135" s="4"/>
      <c r="K135" s="4">
        <v>201</v>
      </c>
      <c r="L135" s="4">
        <v>1</v>
      </c>
      <c r="M135" s="4">
        <v>1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45" x14ac:dyDescent="0.2">
      <c r="A136" s="4">
        <v>50</v>
      </c>
      <c r="B136" s="4">
        <v>0</v>
      </c>
      <c r="C136" s="4">
        <v>0</v>
      </c>
      <c r="D136" s="4">
        <v>1</v>
      </c>
      <c r="E136" s="4">
        <v>202</v>
      </c>
      <c r="F136" s="4">
        <f>ROUND(Source!P133,O136)</f>
        <v>0</v>
      </c>
      <c r="G136" s="4" t="s">
        <v>57</v>
      </c>
      <c r="H136" s="4" t="s">
        <v>58</v>
      </c>
      <c r="I136" s="4"/>
      <c r="J136" s="4"/>
      <c r="K136" s="4">
        <v>202</v>
      </c>
      <c r="L136" s="4">
        <v>2</v>
      </c>
      <c r="M136" s="4">
        <v>1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45" x14ac:dyDescent="0.2">
      <c r="A137" s="4">
        <v>50</v>
      </c>
      <c r="B137" s="4">
        <v>0</v>
      </c>
      <c r="C137" s="4">
        <v>0</v>
      </c>
      <c r="D137" s="4">
        <v>1</v>
      </c>
      <c r="E137" s="4">
        <v>222</v>
      </c>
      <c r="F137" s="4">
        <f>ROUND(Source!AO133,O137)</f>
        <v>0</v>
      </c>
      <c r="G137" s="4" t="s">
        <v>59</v>
      </c>
      <c r="H137" s="4" t="s">
        <v>60</v>
      </c>
      <c r="I137" s="4"/>
      <c r="J137" s="4"/>
      <c r="K137" s="4">
        <v>222</v>
      </c>
      <c r="L137" s="4">
        <v>3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45" x14ac:dyDescent="0.2">
      <c r="A138" s="4">
        <v>50</v>
      </c>
      <c r="B138" s="4">
        <v>0</v>
      </c>
      <c r="C138" s="4">
        <v>0</v>
      </c>
      <c r="D138" s="4">
        <v>1</v>
      </c>
      <c r="E138" s="4">
        <v>225</v>
      </c>
      <c r="F138" s="4">
        <f>ROUND(Source!AV133,O138)</f>
        <v>0</v>
      </c>
      <c r="G138" s="4" t="s">
        <v>61</v>
      </c>
      <c r="H138" s="4" t="s">
        <v>62</v>
      </c>
      <c r="I138" s="4"/>
      <c r="J138" s="4"/>
      <c r="K138" s="4">
        <v>225</v>
      </c>
      <c r="L138" s="4">
        <v>4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45" x14ac:dyDescent="0.2">
      <c r="A139" s="4">
        <v>50</v>
      </c>
      <c r="B139" s="4">
        <v>0</v>
      </c>
      <c r="C139" s="4">
        <v>0</v>
      </c>
      <c r="D139" s="4">
        <v>1</v>
      </c>
      <c r="E139" s="4">
        <v>226</v>
      </c>
      <c r="F139" s="4">
        <f>ROUND(Source!AW133,O139)</f>
        <v>0</v>
      </c>
      <c r="G139" s="4" t="s">
        <v>63</v>
      </c>
      <c r="H139" s="4" t="s">
        <v>64</v>
      </c>
      <c r="I139" s="4"/>
      <c r="J139" s="4"/>
      <c r="K139" s="4">
        <v>226</v>
      </c>
      <c r="L139" s="4">
        <v>5</v>
      </c>
      <c r="M139" s="4">
        <v>1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45" x14ac:dyDescent="0.2">
      <c r="A140" s="4">
        <v>50</v>
      </c>
      <c r="B140" s="4">
        <v>0</v>
      </c>
      <c r="C140" s="4">
        <v>0</v>
      </c>
      <c r="D140" s="4">
        <v>1</v>
      </c>
      <c r="E140" s="4">
        <v>227</v>
      </c>
      <c r="F140" s="4">
        <f>ROUND(Source!AX133,O140)</f>
        <v>0</v>
      </c>
      <c r="G140" s="4" t="s">
        <v>65</v>
      </c>
      <c r="H140" s="4" t="s">
        <v>66</v>
      </c>
      <c r="I140" s="4"/>
      <c r="J140" s="4"/>
      <c r="K140" s="4">
        <v>227</v>
      </c>
      <c r="L140" s="4">
        <v>6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45" x14ac:dyDescent="0.2">
      <c r="A141" s="4">
        <v>50</v>
      </c>
      <c r="B141" s="4">
        <v>0</v>
      </c>
      <c r="C141" s="4">
        <v>0</v>
      </c>
      <c r="D141" s="4">
        <v>1</v>
      </c>
      <c r="E141" s="4">
        <v>228</v>
      </c>
      <c r="F141" s="4">
        <f>ROUND(Source!AY133,O141)</f>
        <v>0</v>
      </c>
      <c r="G141" s="4" t="s">
        <v>67</v>
      </c>
      <c r="H141" s="4" t="s">
        <v>68</v>
      </c>
      <c r="I141" s="4"/>
      <c r="J141" s="4"/>
      <c r="K141" s="4">
        <v>228</v>
      </c>
      <c r="L141" s="4">
        <v>7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45" x14ac:dyDescent="0.2">
      <c r="A142" s="4">
        <v>50</v>
      </c>
      <c r="B142" s="4">
        <v>0</v>
      </c>
      <c r="C142" s="4">
        <v>0</v>
      </c>
      <c r="D142" s="4">
        <v>1</v>
      </c>
      <c r="E142" s="4">
        <v>216</v>
      </c>
      <c r="F142" s="4">
        <f>ROUND(Source!AP133,O142)</f>
        <v>0</v>
      </c>
      <c r="G142" s="4" t="s">
        <v>69</v>
      </c>
      <c r="H142" s="4" t="s">
        <v>70</v>
      </c>
      <c r="I142" s="4"/>
      <c r="J142" s="4"/>
      <c r="K142" s="4">
        <v>216</v>
      </c>
      <c r="L142" s="4">
        <v>8</v>
      </c>
      <c r="M142" s="4">
        <v>1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45" x14ac:dyDescent="0.2">
      <c r="A143" s="4">
        <v>50</v>
      </c>
      <c r="B143" s="4">
        <v>0</v>
      </c>
      <c r="C143" s="4">
        <v>0</v>
      </c>
      <c r="D143" s="4">
        <v>1</v>
      </c>
      <c r="E143" s="4">
        <v>223</v>
      </c>
      <c r="F143" s="4">
        <f>ROUND(Source!AQ133,O143)</f>
        <v>0</v>
      </c>
      <c r="G143" s="4" t="s">
        <v>71</v>
      </c>
      <c r="H143" s="4" t="s">
        <v>72</v>
      </c>
      <c r="I143" s="4"/>
      <c r="J143" s="4"/>
      <c r="K143" s="4">
        <v>223</v>
      </c>
      <c r="L143" s="4">
        <v>9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45" x14ac:dyDescent="0.2">
      <c r="A144" s="4">
        <v>50</v>
      </c>
      <c r="B144" s="4">
        <v>0</v>
      </c>
      <c r="C144" s="4">
        <v>0</v>
      </c>
      <c r="D144" s="4">
        <v>1</v>
      </c>
      <c r="E144" s="4">
        <v>229</v>
      </c>
      <c r="F144" s="4">
        <f>ROUND(Source!AZ133,O144)</f>
        <v>0</v>
      </c>
      <c r="G144" s="4" t="s">
        <v>73</v>
      </c>
      <c r="H144" s="4" t="s">
        <v>74</v>
      </c>
      <c r="I144" s="4"/>
      <c r="J144" s="4"/>
      <c r="K144" s="4">
        <v>229</v>
      </c>
      <c r="L144" s="4">
        <v>10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 x14ac:dyDescent="0.2">
      <c r="A145" s="4">
        <v>50</v>
      </c>
      <c r="B145" s="4">
        <v>0</v>
      </c>
      <c r="C145" s="4">
        <v>0</v>
      </c>
      <c r="D145" s="4">
        <v>1</v>
      </c>
      <c r="E145" s="4">
        <v>203</v>
      </c>
      <c r="F145" s="4">
        <f>ROUND(Source!Q133,O145)</f>
        <v>0</v>
      </c>
      <c r="G145" s="4" t="s">
        <v>75</v>
      </c>
      <c r="H145" s="4" t="s">
        <v>76</v>
      </c>
      <c r="I145" s="4"/>
      <c r="J145" s="4"/>
      <c r="K145" s="4">
        <v>203</v>
      </c>
      <c r="L145" s="4">
        <v>11</v>
      </c>
      <c r="M145" s="4">
        <v>1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 x14ac:dyDescent="0.2">
      <c r="A146" s="4">
        <v>50</v>
      </c>
      <c r="B146" s="4">
        <v>0</v>
      </c>
      <c r="C146" s="4">
        <v>0</v>
      </c>
      <c r="D146" s="4">
        <v>1</v>
      </c>
      <c r="E146" s="4">
        <v>231</v>
      </c>
      <c r="F146" s="4">
        <f>ROUND(Source!BB133,O146)</f>
        <v>0</v>
      </c>
      <c r="G146" s="4" t="s">
        <v>77</v>
      </c>
      <c r="H146" s="4" t="s">
        <v>78</v>
      </c>
      <c r="I146" s="4"/>
      <c r="J146" s="4"/>
      <c r="K146" s="4">
        <v>231</v>
      </c>
      <c r="L146" s="4">
        <v>12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 x14ac:dyDescent="0.2">
      <c r="A147" s="4">
        <v>50</v>
      </c>
      <c r="B147" s="4">
        <v>0</v>
      </c>
      <c r="C147" s="4">
        <v>0</v>
      </c>
      <c r="D147" s="4">
        <v>1</v>
      </c>
      <c r="E147" s="4">
        <v>204</v>
      </c>
      <c r="F147" s="4">
        <f>ROUND(Source!R133,O147)</f>
        <v>0</v>
      </c>
      <c r="G147" s="4" t="s">
        <v>79</v>
      </c>
      <c r="H147" s="4" t="s">
        <v>80</v>
      </c>
      <c r="I147" s="4"/>
      <c r="J147" s="4"/>
      <c r="K147" s="4">
        <v>204</v>
      </c>
      <c r="L147" s="4">
        <v>13</v>
      </c>
      <c r="M147" s="4">
        <v>1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 x14ac:dyDescent="0.2">
      <c r="A148" s="4">
        <v>50</v>
      </c>
      <c r="B148" s="4">
        <v>0</v>
      </c>
      <c r="C148" s="4">
        <v>0</v>
      </c>
      <c r="D148" s="4">
        <v>1</v>
      </c>
      <c r="E148" s="4">
        <v>205</v>
      </c>
      <c r="F148" s="4">
        <f>ROUND(Source!S133,O148)</f>
        <v>0</v>
      </c>
      <c r="G148" s="4" t="s">
        <v>81</v>
      </c>
      <c r="H148" s="4" t="s">
        <v>82</v>
      </c>
      <c r="I148" s="4"/>
      <c r="J148" s="4"/>
      <c r="K148" s="4">
        <v>205</v>
      </c>
      <c r="L148" s="4">
        <v>14</v>
      </c>
      <c r="M148" s="4">
        <v>1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 x14ac:dyDescent="0.2">
      <c r="A149" s="4">
        <v>50</v>
      </c>
      <c r="B149" s="4">
        <v>0</v>
      </c>
      <c r="C149" s="4">
        <v>0</v>
      </c>
      <c r="D149" s="4">
        <v>1</v>
      </c>
      <c r="E149" s="4">
        <v>232</v>
      </c>
      <c r="F149" s="4">
        <f>ROUND(Source!BC133,O149)</f>
        <v>0</v>
      </c>
      <c r="G149" s="4" t="s">
        <v>83</v>
      </c>
      <c r="H149" s="4" t="s">
        <v>84</v>
      </c>
      <c r="I149" s="4"/>
      <c r="J149" s="4"/>
      <c r="K149" s="4">
        <v>232</v>
      </c>
      <c r="L149" s="4">
        <v>15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3" x14ac:dyDescent="0.2">
      <c r="A150" s="4">
        <v>50</v>
      </c>
      <c r="B150" s="4">
        <v>1</v>
      </c>
      <c r="C150" s="4">
        <v>0</v>
      </c>
      <c r="D150" s="4">
        <v>1</v>
      </c>
      <c r="E150" s="4">
        <v>214</v>
      </c>
      <c r="F150" s="4">
        <f>ROUND(Source!AS133,O150)</f>
        <v>2302.79</v>
      </c>
      <c r="G150" s="4" t="s">
        <v>85</v>
      </c>
      <c r="H150" s="4" t="s">
        <v>86</v>
      </c>
      <c r="I150" s="4"/>
      <c r="J150" s="4"/>
      <c r="K150" s="4">
        <v>214</v>
      </c>
      <c r="L150" s="4">
        <v>16</v>
      </c>
      <c r="M150" s="4">
        <v>1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23" x14ac:dyDescent="0.2">
      <c r="A151" s="4">
        <v>50</v>
      </c>
      <c r="B151" s="4">
        <v>0</v>
      </c>
      <c r="C151" s="4">
        <v>0</v>
      </c>
      <c r="D151" s="4">
        <v>1</v>
      </c>
      <c r="E151" s="4">
        <v>215</v>
      </c>
      <c r="F151" s="4">
        <f>ROUND(Source!AT133,O151)</f>
        <v>0</v>
      </c>
      <c r="G151" s="4" t="s">
        <v>87</v>
      </c>
      <c r="H151" s="4" t="s">
        <v>88</v>
      </c>
      <c r="I151" s="4"/>
      <c r="J151" s="4"/>
      <c r="K151" s="4">
        <v>215</v>
      </c>
      <c r="L151" s="4">
        <v>17</v>
      </c>
      <c r="M151" s="4">
        <v>1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3" x14ac:dyDescent="0.2">
      <c r="A152" s="4">
        <v>50</v>
      </c>
      <c r="B152" s="4">
        <v>0</v>
      </c>
      <c r="C152" s="4">
        <v>0</v>
      </c>
      <c r="D152" s="4">
        <v>1</v>
      </c>
      <c r="E152" s="4">
        <v>217</v>
      </c>
      <c r="F152" s="4">
        <f>ROUND(Source!AU133,O152)</f>
        <v>0</v>
      </c>
      <c r="G152" s="4" t="s">
        <v>89</v>
      </c>
      <c r="H152" s="4" t="s">
        <v>90</v>
      </c>
      <c r="I152" s="4"/>
      <c r="J152" s="4"/>
      <c r="K152" s="4">
        <v>217</v>
      </c>
      <c r="L152" s="4">
        <v>18</v>
      </c>
      <c r="M152" s="4">
        <v>1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 x14ac:dyDescent="0.2">
      <c r="A153" s="4">
        <v>50</v>
      </c>
      <c r="B153" s="4">
        <v>0</v>
      </c>
      <c r="C153" s="4">
        <v>0</v>
      </c>
      <c r="D153" s="4">
        <v>1</v>
      </c>
      <c r="E153" s="4">
        <v>230</v>
      </c>
      <c r="F153" s="4">
        <f>ROUND(Source!BA133,O153)</f>
        <v>0</v>
      </c>
      <c r="G153" s="4" t="s">
        <v>91</v>
      </c>
      <c r="H153" s="4" t="s">
        <v>92</v>
      </c>
      <c r="I153" s="4"/>
      <c r="J153" s="4"/>
      <c r="K153" s="4">
        <v>230</v>
      </c>
      <c r="L153" s="4">
        <v>19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 x14ac:dyDescent="0.2">
      <c r="A154" s="4">
        <v>50</v>
      </c>
      <c r="B154" s="4">
        <v>0</v>
      </c>
      <c r="C154" s="4">
        <v>0</v>
      </c>
      <c r="D154" s="4">
        <v>1</v>
      </c>
      <c r="E154" s="4">
        <v>206</v>
      </c>
      <c r="F154" s="4">
        <f>ROUND(Source!T133,O154)</f>
        <v>0</v>
      </c>
      <c r="G154" s="4" t="s">
        <v>93</v>
      </c>
      <c r="H154" s="4" t="s">
        <v>94</v>
      </c>
      <c r="I154" s="4"/>
      <c r="J154" s="4"/>
      <c r="K154" s="4">
        <v>206</v>
      </c>
      <c r="L154" s="4">
        <v>20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 x14ac:dyDescent="0.2">
      <c r="A155" s="4">
        <v>50</v>
      </c>
      <c r="B155" s="4">
        <v>0</v>
      </c>
      <c r="C155" s="4">
        <v>0</v>
      </c>
      <c r="D155" s="4">
        <v>1</v>
      </c>
      <c r="E155" s="4">
        <v>207</v>
      </c>
      <c r="F155" s="4">
        <f>ROUND(Source!U133,O155)</f>
        <v>0</v>
      </c>
      <c r="G155" s="4" t="s">
        <v>95</v>
      </c>
      <c r="H155" s="4" t="s">
        <v>96</v>
      </c>
      <c r="I155" s="4"/>
      <c r="J155" s="4"/>
      <c r="K155" s="4">
        <v>207</v>
      </c>
      <c r="L155" s="4">
        <v>21</v>
      </c>
      <c r="M155" s="4">
        <v>1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6" spans="1:23" x14ac:dyDescent="0.2">
      <c r="A156" s="4">
        <v>50</v>
      </c>
      <c r="B156" s="4">
        <v>0</v>
      </c>
      <c r="C156" s="4">
        <v>0</v>
      </c>
      <c r="D156" s="4">
        <v>1</v>
      </c>
      <c r="E156" s="4">
        <v>208</v>
      </c>
      <c r="F156" s="4">
        <f>ROUND(Source!V133,O156)</f>
        <v>0</v>
      </c>
      <c r="G156" s="4" t="s">
        <v>97</v>
      </c>
      <c r="H156" s="4" t="s">
        <v>98</v>
      </c>
      <c r="I156" s="4"/>
      <c r="J156" s="4"/>
      <c r="K156" s="4">
        <v>208</v>
      </c>
      <c r="L156" s="4">
        <v>22</v>
      </c>
      <c r="M156" s="4">
        <v>1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/>
    </row>
    <row r="157" spans="1:23" x14ac:dyDescent="0.2">
      <c r="A157" s="4">
        <v>50</v>
      </c>
      <c r="B157" s="4">
        <v>0</v>
      </c>
      <c r="C157" s="4">
        <v>0</v>
      </c>
      <c r="D157" s="4">
        <v>1</v>
      </c>
      <c r="E157" s="4">
        <v>209</v>
      </c>
      <c r="F157" s="4">
        <f>ROUND(Source!W133,O157)</f>
        <v>0</v>
      </c>
      <c r="G157" s="4" t="s">
        <v>99</v>
      </c>
      <c r="H157" s="4" t="s">
        <v>100</v>
      </c>
      <c r="I157" s="4"/>
      <c r="J157" s="4"/>
      <c r="K157" s="4">
        <v>209</v>
      </c>
      <c r="L157" s="4">
        <v>23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3" x14ac:dyDescent="0.2">
      <c r="A158" s="4">
        <v>50</v>
      </c>
      <c r="B158" s="4">
        <v>0</v>
      </c>
      <c r="C158" s="4">
        <v>0</v>
      </c>
      <c r="D158" s="4">
        <v>1</v>
      </c>
      <c r="E158" s="4">
        <v>233</v>
      </c>
      <c r="F158" s="4">
        <f>ROUND(Source!BD133,O158)</f>
        <v>2302.79</v>
      </c>
      <c r="G158" s="4" t="s">
        <v>101</v>
      </c>
      <c r="H158" s="4" t="s">
        <v>102</v>
      </c>
      <c r="I158" s="4"/>
      <c r="J158" s="4"/>
      <c r="K158" s="4">
        <v>233</v>
      </c>
      <c r="L158" s="4">
        <v>24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3" x14ac:dyDescent="0.2">
      <c r="A159" s="4">
        <v>50</v>
      </c>
      <c r="B159" s="4">
        <v>0</v>
      </c>
      <c r="C159" s="4">
        <v>0</v>
      </c>
      <c r="D159" s="4">
        <v>1</v>
      </c>
      <c r="E159" s="4">
        <v>210</v>
      </c>
      <c r="F159" s="4">
        <f>ROUND(Source!X133,O159)</f>
        <v>0</v>
      </c>
      <c r="G159" s="4" t="s">
        <v>103</v>
      </c>
      <c r="H159" s="4" t="s">
        <v>104</v>
      </c>
      <c r="I159" s="4"/>
      <c r="J159" s="4"/>
      <c r="K159" s="4">
        <v>210</v>
      </c>
      <c r="L159" s="4">
        <v>25</v>
      </c>
      <c r="M159" s="4">
        <v>1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3" x14ac:dyDescent="0.2">
      <c r="A160" s="4">
        <v>50</v>
      </c>
      <c r="B160" s="4">
        <v>0</v>
      </c>
      <c r="C160" s="4">
        <v>0</v>
      </c>
      <c r="D160" s="4">
        <v>1</v>
      </c>
      <c r="E160" s="4">
        <v>211</v>
      </c>
      <c r="F160" s="4">
        <f>ROUND(Source!Y133,O160)</f>
        <v>0</v>
      </c>
      <c r="G160" s="4" t="s">
        <v>105</v>
      </c>
      <c r="H160" s="4" t="s">
        <v>106</v>
      </c>
      <c r="I160" s="4"/>
      <c r="J160" s="4"/>
      <c r="K160" s="4">
        <v>211</v>
      </c>
      <c r="L160" s="4">
        <v>26</v>
      </c>
      <c r="M160" s="4">
        <v>1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06" x14ac:dyDescent="0.2">
      <c r="A161" s="4">
        <v>50</v>
      </c>
      <c r="B161" s="4">
        <v>1</v>
      </c>
      <c r="C161" s="4">
        <v>0</v>
      </c>
      <c r="D161" s="4">
        <v>1</v>
      </c>
      <c r="E161" s="4">
        <v>224</v>
      </c>
      <c r="F161" s="4">
        <f>ROUND(Source!AR133,O161)</f>
        <v>2302.79</v>
      </c>
      <c r="G161" s="4" t="s">
        <v>107</v>
      </c>
      <c r="H161" s="4" t="s">
        <v>108</v>
      </c>
      <c r="I161" s="4"/>
      <c r="J161" s="4"/>
      <c r="K161" s="4">
        <v>224</v>
      </c>
      <c r="L161" s="4">
        <v>27</v>
      </c>
      <c r="M161" s="4">
        <v>1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3" spans="1:206" x14ac:dyDescent="0.2">
      <c r="A163" s="2">
        <v>51</v>
      </c>
      <c r="B163" s="2">
        <f>B20</f>
        <v>1</v>
      </c>
      <c r="C163" s="2">
        <f>A20</f>
        <v>3</v>
      </c>
      <c r="D163" s="2">
        <f>ROW(A20)</f>
        <v>20</v>
      </c>
      <c r="E163" s="2"/>
      <c r="F163" s="2" t="str">
        <f>IF(F20&lt;&gt;"",F20,"")</f>
        <v>Новая локальная смета</v>
      </c>
      <c r="G163" s="2" t="str">
        <f>IF(G20&lt;&gt;"",G20,"")</f>
        <v>Новая локальная смета</v>
      </c>
      <c r="H163" s="2">
        <v>0</v>
      </c>
      <c r="I163" s="2"/>
      <c r="J163" s="2"/>
      <c r="K163" s="2"/>
      <c r="L163" s="2"/>
      <c r="M163" s="2"/>
      <c r="N163" s="2"/>
      <c r="O163" s="2">
        <f t="shared" ref="O163:T163" si="120">ROUND(O41+O96+O133+AB163,2)</f>
        <v>753998.69</v>
      </c>
      <c r="P163" s="2">
        <f t="shared" si="120"/>
        <v>732716</v>
      </c>
      <c r="Q163" s="2">
        <f t="shared" si="120"/>
        <v>4393.3100000000004</v>
      </c>
      <c r="R163" s="2">
        <f t="shared" si="120"/>
        <v>721.83</v>
      </c>
      <c r="S163" s="2">
        <f t="shared" si="120"/>
        <v>16889.38</v>
      </c>
      <c r="T163" s="2">
        <f t="shared" si="120"/>
        <v>0</v>
      </c>
      <c r="U163" s="2">
        <f>U41+U96+U133+AH163</f>
        <v>247.10728459999996</v>
      </c>
      <c r="V163" s="2">
        <f>V41+V96+V133+AI163</f>
        <v>7.848255</v>
      </c>
      <c r="W163" s="2">
        <f>ROUND(W41+W96+W133+AJ163,2)</f>
        <v>0</v>
      </c>
      <c r="X163" s="2">
        <f>ROUND(X41+X96+X133+AK163,2)</f>
        <v>16481.37</v>
      </c>
      <c r="Y163" s="2">
        <f>ROUND(Y41+Y96+Y133+AL163,2)</f>
        <v>10549.43</v>
      </c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>
        <f t="shared" ref="AO163:BD163" si="121">ROUND(AO41+AO96+AO133+BX163,2)</f>
        <v>0</v>
      </c>
      <c r="AP163" s="2">
        <f t="shared" si="121"/>
        <v>0</v>
      </c>
      <c r="AQ163" s="2">
        <f t="shared" si="121"/>
        <v>0</v>
      </c>
      <c r="AR163" s="2">
        <f t="shared" si="121"/>
        <v>783332.28</v>
      </c>
      <c r="AS163" s="2">
        <f t="shared" si="121"/>
        <v>783332.28</v>
      </c>
      <c r="AT163" s="2">
        <f t="shared" si="121"/>
        <v>0</v>
      </c>
      <c r="AU163" s="2">
        <f t="shared" si="121"/>
        <v>0</v>
      </c>
      <c r="AV163" s="2">
        <f t="shared" si="121"/>
        <v>732716</v>
      </c>
      <c r="AW163" s="2">
        <f t="shared" si="121"/>
        <v>732716</v>
      </c>
      <c r="AX163" s="2">
        <f t="shared" si="121"/>
        <v>0</v>
      </c>
      <c r="AY163" s="2">
        <f t="shared" si="121"/>
        <v>732716</v>
      </c>
      <c r="AZ163" s="2">
        <f t="shared" si="121"/>
        <v>0</v>
      </c>
      <c r="BA163" s="2">
        <f t="shared" si="121"/>
        <v>0</v>
      </c>
      <c r="BB163" s="2">
        <f t="shared" si="121"/>
        <v>0</v>
      </c>
      <c r="BC163" s="2">
        <f t="shared" si="121"/>
        <v>0</v>
      </c>
      <c r="BD163" s="2">
        <f t="shared" si="121"/>
        <v>2302.79</v>
      </c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>
        <v>0</v>
      </c>
    </row>
    <row r="165" spans="1:206" x14ac:dyDescent="0.2">
      <c r="A165" s="4">
        <v>50</v>
      </c>
      <c r="B165" s="4">
        <v>1</v>
      </c>
      <c r="C165" s="4">
        <v>0</v>
      </c>
      <c r="D165" s="4">
        <v>1</v>
      </c>
      <c r="E165" s="4">
        <v>201</v>
      </c>
      <c r="F165" s="4">
        <f>ROUND(Source!O163,O165)</f>
        <v>753998.69</v>
      </c>
      <c r="G165" s="4" t="s">
        <v>55</v>
      </c>
      <c r="H165" s="4" t="s">
        <v>56</v>
      </c>
      <c r="I165" s="4"/>
      <c r="J165" s="4"/>
      <c r="K165" s="4">
        <v>201</v>
      </c>
      <c r="L165" s="4">
        <v>1</v>
      </c>
      <c r="M165" s="4">
        <v>1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/>
    </row>
    <row r="166" spans="1:206" x14ac:dyDescent="0.2">
      <c r="A166" s="4">
        <v>50</v>
      </c>
      <c r="B166" s="4">
        <v>1</v>
      </c>
      <c r="C166" s="4">
        <v>0</v>
      </c>
      <c r="D166" s="4">
        <v>1</v>
      </c>
      <c r="E166" s="4">
        <v>202</v>
      </c>
      <c r="F166" s="4">
        <f>ROUND(Source!P163,O166)</f>
        <v>732716</v>
      </c>
      <c r="G166" s="4" t="s">
        <v>57</v>
      </c>
      <c r="H166" s="4" t="s">
        <v>58</v>
      </c>
      <c r="I166" s="4"/>
      <c r="J166" s="4"/>
      <c r="K166" s="4">
        <v>202</v>
      </c>
      <c r="L166" s="4">
        <v>2</v>
      </c>
      <c r="M166" s="4">
        <v>1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/>
    </row>
    <row r="167" spans="1:206" x14ac:dyDescent="0.2">
      <c r="A167" s="4">
        <v>50</v>
      </c>
      <c r="B167" s="4">
        <v>0</v>
      </c>
      <c r="C167" s="4">
        <v>0</v>
      </c>
      <c r="D167" s="4">
        <v>1</v>
      </c>
      <c r="E167" s="4">
        <v>222</v>
      </c>
      <c r="F167" s="4">
        <f>ROUND(Source!AO163,O167)</f>
        <v>0</v>
      </c>
      <c r="G167" s="4" t="s">
        <v>59</v>
      </c>
      <c r="H167" s="4" t="s">
        <v>60</v>
      </c>
      <c r="I167" s="4"/>
      <c r="J167" s="4"/>
      <c r="K167" s="4">
        <v>222</v>
      </c>
      <c r="L167" s="4">
        <v>3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/>
    </row>
    <row r="168" spans="1:206" x14ac:dyDescent="0.2">
      <c r="A168" s="4">
        <v>50</v>
      </c>
      <c r="B168" s="4">
        <v>0</v>
      </c>
      <c r="C168" s="4">
        <v>0</v>
      </c>
      <c r="D168" s="4">
        <v>1</v>
      </c>
      <c r="E168" s="4">
        <v>225</v>
      </c>
      <c r="F168" s="4">
        <f>ROUND(Source!AV163,O168)</f>
        <v>732716</v>
      </c>
      <c r="G168" s="4" t="s">
        <v>61</v>
      </c>
      <c r="H168" s="4" t="s">
        <v>62</v>
      </c>
      <c r="I168" s="4"/>
      <c r="J168" s="4"/>
      <c r="K168" s="4">
        <v>225</v>
      </c>
      <c r="L168" s="4">
        <v>4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/>
    </row>
    <row r="169" spans="1:206" x14ac:dyDescent="0.2">
      <c r="A169" s="4">
        <v>50</v>
      </c>
      <c r="B169" s="4">
        <v>1</v>
      </c>
      <c r="C169" s="4">
        <v>0</v>
      </c>
      <c r="D169" s="4">
        <v>1</v>
      </c>
      <c r="E169" s="4">
        <v>226</v>
      </c>
      <c r="F169" s="4">
        <f>ROUND(Source!AW163,O169)</f>
        <v>732716</v>
      </c>
      <c r="G169" s="4" t="s">
        <v>63</v>
      </c>
      <c r="H169" s="4" t="s">
        <v>64</v>
      </c>
      <c r="I169" s="4"/>
      <c r="J169" s="4"/>
      <c r="K169" s="4">
        <v>226</v>
      </c>
      <c r="L169" s="4">
        <v>5</v>
      </c>
      <c r="M169" s="4">
        <v>1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/>
    </row>
    <row r="170" spans="1:206" x14ac:dyDescent="0.2">
      <c r="A170" s="4">
        <v>50</v>
      </c>
      <c r="B170" s="4">
        <v>0</v>
      </c>
      <c r="C170" s="4">
        <v>0</v>
      </c>
      <c r="D170" s="4">
        <v>1</v>
      </c>
      <c r="E170" s="4">
        <v>227</v>
      </c>
      <c r="F170" s="4">
        <f>ROUND(Source!AX163,O170)</f>
        <v>0</v>
      </c>
      <c r="G170" s="4" t="s">
        <v>65</v>
      </c>
      <c r="H170" s="4" t="s">
        <v>66</v>
      </c>
      <c r="I170" s="4"/>
      <c r="J170" s="4"/>
      <c r="K170" s="4">
        <v>227</v>
      </c>
      <c r="L170" s="4">
        <v>6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/>
    </row>
    <row r="171" spans="1:206" x14ac:dyDescent="0.2">
      <c r="A171" s="4">
        <v>50</v>
      </c>
      <c r="B171" s="4">
        <v>0</v>
      </c>
      <c r="C171" s="4">
        <v>0</v>
      </c>
      <c r="D171" s="4">
        <v>1</v>
      </c>
      <c r="E171" s="4">
        <v>228</v>
      </c>
      <c r="F171" s="4">
        <f>ROUND(Source!AY163,O171)</f>
        <v>732716</v>
      </c>
      <c r="G171" s="4" t="s">
        <v>67</v>
      </c>
      <c r="H171" s="4" t="s">
        <v>68</v>
      </c>
      <c r="I171" s="4"/>
      <c r="J171" s="4"/>
      <c r="K171" s="4">
        <v>228</v>
      </c>
      <c r="L171" s="4">
        <v>7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/>
    </row>
    <row r="172" spans="1:206" x14ac:dyDescent="0.2">
      <c r="A172" s="4">
        <v>50</v>
      </c>
      <c r="B172" s="4">
        <v>0</v>
      </c>
      <c r="C172" s="4">
        <v>0</v>
      </c>
      <c r="D172" s="4">
        <v>1</v>
      </c>
      <c r="E172" s="4">
        <v>216</v>
      </c>
      <c r="F172" s="4">
        <f>ROUND(Source!AP163,O172)</f>
        <v>0</v>
      </c>
      <c r="G172" s="4" t="s">
        <v>69</v>
      </c>
      <c r="H172" s="4" t="s">
        <v>70</v>
      </c>
      <c r="I172" s="4"/>
      <c r="J172" s="4"/>
      <c r="K172" s="4">
        <v>216</v>
      </c>
      <c r="L172" s="4">
        <v>8</v>
      </c>
      <c r="M172" s="4">
        <v>1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/>
    </row>
    <row r="173" spans="1:206" x14ac:dyDescent="0.2">
      <c r="A173" s="4">
        <v>50</v>
      </c>
      <c r="B173" s="4">
        <v>0</v>
      </c>
      <c r="C173" s="4">
        <v>0</v>
      </c>
      <c r="D173" s="4">
        <v>1</v>
      </c>
      <c r="E173" s="4">
        <v>223</v>
      </c>
      <c r="F173" s="4">
        <f>ROUND(Source!AQ163,O173)</f>
        <v>0</v>
      </c>
      <c r="G173" s="4" t="s">
        <v>71</v>
      </c>
      <c r="H173" s="4" t="s">
        <v>72</v>
      </c>
      <c r="I173" s="4"/>
      <c r="J173" s="4"/>
      <c r="K173" s="4">
        <v>223</v>
      </c>
      <c r="L173" s="4">
        <v>9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/>
    </row>
    <row r="174" spans="1:206" x14ac:dyDescent="0.2">
      <c r="A174" s="4">
        <v>50</v>
      </c>
      <c r="B174" s="4">
        <v>0</v>
      </c>
      <c r="C174" s="4">
        <v>0</v>
      </c>
      <c r="D174" s="4">
        <v>1</v>
      </c>
      <c r="E174" s="4">
        <v>229</v>
      </c>
      <c r="F174" s="4">
        <f>ROUND(Source!AZ163,O174)</f>
        <v>0</v>
      </c>
      <c r="G174" s="4" t="s">
        <v>73</v>
      </c>
      <c r="H174" s="4" t="s">
        <v>74</v>
      </c>
      <c r="I174" s="4"/>
      <c r="J174" s="4"/>
      <c r="K174" s="4">
        <v>229</v>
      </c>
      <c r="L174" s="4">
        <v>10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06" x14ac:dyDescent="0.2">
      <c r="A175" s="4">
        <v>50</v>
      </c>
      <c r="B175" s="4">
        <v>1</v>
      </c>
      <c r="C175" s="4">
        <v>0</v>
      </c>
      <c r="D175" s="4">
        <v>1</v>
      </c>
      <c r="E175" s="4">
        <v>203</v>
      </c>
      <c r="F175" s="4">
        <f>ROUND(Source!Q163,O175)</f>
        <v>4393.3100000000004</v>
      </c>
      <c r="G175" s="4" t="s">
        <v>75</v>
      </c>
      <c r="H175" s="4" t="s">
        <v>76</v>
      </c>
      <c r="I175" s="4"/>
      <c r="J175" s="4"/>
      <c r="K175" s="4">
        <v>203</v>
      </c>
      <c r="L175" s="4">
        <v>11</v>
      </c>
      <c r="M175" s="4">
        <v>1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6" spans="1:206" x14ac:dyDescent="0.2">
      <c r="A176" s="4">
        <v>50</v>
      </c>
      <c r="B176" s="4">
        <v>0</v>
      </c>
      <c r="C176" s="4">
        <v>0</v>
      </c>
      <c r="D176" s="4">
        <v>1</v>
      </c>
      <c r="E176" s="4">
        <v>231</v>
      </c>
      <c r="F176" s="4">
        <f>ROUND(Source!BB163,O176)</f>
        <v>0</v>
      </c>
      <c r="G176" s="4" t="s">
        <v>77</v>
      </c>
      <c r="H176" s="4" t="s">
        <v>78</v>
      </c>
      <c r="I176" s="4"/>
      <c r="J176" s="4"/>
      <c r="K176" s="4">
        <v>231</v>
      </c>
      <c r="L176" s="4">
        <v>12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3" x14ac:dyDescent="0.2">
      <c r="A177" s="4">
        <v>50</v>
      </c>
      <c r="B177" s="4">
        <v>1</v>
      </c>
      <c r="C177" s="4">
        <v>0</v>
      </c>
      <c r="D177" s="4">
        <v>1</v>
      </c>
      <c r="E177" s="4">
        <v>204</v>
      </c>
      <c r="F177" s="4">
        <f>ROUND(Source!R163,O177)</f>
        <v>721.83</v>
      </c>
      <c r="G177" s="4" t="s">
        <v>79</v>
      </c>
      <c r="H177" s="4" t="s">
        <v>80</v>
      </c>
      <c r="I177" s="4"/>
      <c r="J177" s="4"/>
      <c r="K177" s="4">
        <v>204</v>
      </c>
      <c r="L177" s="4">
        <v>13</v>
      </c>
      <c r="M177" s="4">
        <v>1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3" x14ac:dyDescent="0.2">
      <c r="A178" s="4">
        <v>50</v>
      </c>
      <c r="B178" s="4">
        <v>1</v>
      </c>
      <c r="C178" s="4">
        <v>0</v>
      </c>
      <c r="D178" s="4">
        <v>1</v>
      </c>
      <c r="E178" s="4">
        <v>205</v>
      </c>
      <c r="F178" s="4">
        <f>ROUND(Source!S163,O178)</f>
        <v>16889.38</v>
      </c>
      <c r="G178" s="4" t="s">
        <v>81</v>
      </c>
      <c r="H178" s="4" t="s">
        <v>82</v>
      </c>
      <c r="I178" s="4"/>
      <c r="J178" s="4"/>
      <c r="K178" s="4">
        <v>205</v>
      </c>
      <c r="L178" s="4">
        <v>14</v>
      </c>
      <c r="M178" s="4">
        <v>1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3" x14ac:dyDescent="0.2">
      <c r="A179" s="4">
        <v>50</v>
      </c>
      <c r="B179" s="4">
        <v>0</v>
      </c>
      <c r="C179" s="4">
        <v>0</v>
      </c>
      <c r="D179" s="4">
        <v>1</v>
      </c>
      <c r="E179" s="4">
        <v>232</v>
      </c>
      <c r="F179" s="4">
        <f>ROUND(Source!BC163,O179)</f>
        <v>0</v>
      </c>
      <c r="G179" s="4" t="s">
        <v>83</v>
      </c>
      <c r="H179" s="4" t="s">
        <v>84</v>
      </c>
      <c r="I179" s="4"/>
      <c r="J179" s="4"/>
      <c r="K179" s="4">
        <v>232</v>
      </c>
      <c r="L179" s="4">
        <v>15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3" x14ac:dyDescent="0.2">
      <c r="A180" s="4">
        <v>50</v>
      </c>
      <c r="B180" s="4">
        <v>1</v>
      </c>
      <c r="C180" s="4">
        <v>0</v>
      </c>
      <c r="D180" s="4">
        <v>1</v>
      </c>
      <c r="E180" s="4">
        <v>214</v>
      </c>
      <c r="F180" s="4">
        <f>ROUND(Source!AS163,O180)</f>
        <v>783332.28</v>
      </c>
      <c r="G180" s="4" t="s">
        <v>85</v>
      </c>
      <c r="H180" s="4" t="s">
        <v>86</v>
      </c>
      <c r="I180" s="4"/>
      <c r="J180" s="4"/>
      <c r="K180" s="4">
        <v>214</v>
      </c>
      <c r="L180" s="4">
        <v>16</v>
      </c>
      <c r="M180" s="4">
        <v>1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3" x14ac:dyDescent="0.2">
      <c r="A181" s="4">
        <v>50</v>
      </c>
      <c r="B181" s="4">
        <v>0</v>
      </c>
      <c r="C181" s="4">
        <v>0</v>
      </c>
      <c r="D181" s="4">
        <v>1</v>
      </c>
      <c r="E181" s="4">
        <v>215</v>
      </c>
      <c r="F181" s="4">
        <f>ROUND(Source!AT163,O181)</f>
        <v>0</v>
      </c>
      <c r="G181" s="4" t="s">
        <v>87</v>
      </c>
      <c r="H181" s="4" t="s">
        <v>88</v>
      </c>
      <c r="I181" s="4"/>
      <c r="J181" s="4"/>
      <c r="K181" s="4">
        <v>215</v>
      </c>
      <c r="L181" s="4">
        <v>17</v>
      </c>
      <c r="M181" s="4">
        <v>1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3" x14ac:dyDescent="0.2">
      <c r="A182" s="4">
        <v>50</v>
      </c>
      <c r="B182" s="4">
        <v>0</v>
      </c>
      <c r="C182" s="4">
        <v>0</v>
      </c>
      <c r="D182" s="4">
        <v>1</v>
      </c>
      <c r="E182" s="4">
        <v>217</v>
      </c>
      <c r="F182" s="4">
        <f>ROUND(Source!AU163,O182)</f>
        <v>0</v>
      </c>
      <c r="G182" s="4" t="s">
        <v>89</v>
      </c>
      <c r="H182" s="4" t="s">
        <v>90</v>
      </c>
      <c r="I182" s="4"/>
      <c r="J182" s="4"/>
      <c r="K182" s="4">
        <v>217</v>
      </c>
      <c r="L182" s="4">
        <v>18</v>
      </c>
      <c r="M182" s="4">
        <v>1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3" x14ac:dyDescent="0.2">
      <c r="A183" s="4">
        <v>50</v>
      </c>
      <c r="B183" s="4">
        <v>0</v>
      </c>
      <c r="C183" s="4">
        <v>0</v>
      </c>
      <c r="D183" s="4">
        <v>1</v>
      </c>
      <c r="E183" s="4">
        <v>230</v>
      </c>
      <c r="F183" s="4">
        <f>ROUND(Source!BA163,O183)</f>
        <v>0</v>
      </c>
      <c r="G183" s="4" t="s">
        <v>91</v>
      </c>
      <c r="H183" s="4" t="s">
        <v>92</v>
      </c>
      <c r="I183" s="4"/>
      <c r="J183" s="4"/>
      <c r="K183" s="4">
        <v>230</v>
      </c>
      <c r="L183" s="4">
        <v>19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3" x14ac:dyDescent="0.2">
      <c r="A184" s="4">
        <v>50</v>
      </c>
      <c r="B184" s="4">
        <v>0</v>
      </c>
      <c r="C184" s="4">
        <v>0</v>
      </c>
      <c r="D184" s="4">
        <v>1</v>
      </c>
      <c r="E184" s="4">
        <v>206</v>
      </c>
      <c r="F184" s="4">
        <f>ROUND(Source!T163,O184)</f>
        <v>0</v>
      </c>
      <c r="G184" s="4" t="s">
        <v>93</v>
      </c>
      <c r="H184" s="4" t="s">
        <v>94</v>
      </c>
      <c r="I184" s="4"/>
      <c r="J184" s="4"/>
      <c r="K184" s="4">
        <v>206</v>
      </c>
      <c r="L184" s="4">
        <v>20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/>
    </row>
    <row r="185" spans="1:23" x14ac:dyDescent="0.2">
      <c r="A185" s="4">
        <v>50</v>
      </c>
      <c r="B185" s="4">
        <v>1</v>
      </c>
      <c r="C185" s="4">
        <v>0</v>
      </c>
      <c r="D185" s="4">
        <v>1</v>
      </c>
      <c r="E185" s="4">
        <v>207</v>
      </c>
      <c r="F185" s="4">
        <f>ROUND(Source!U163,O185)</f>
        <v>247.11</v>
      </c>
      <c r="G185" s="4" t="s">
        <v>95</v>
      </c>
      <c r="H185" s="4" t="s">
        <v>96</v>
      </c>
      <c r="I185" s="4"/>
      <c r="J185" s="4"/>
      <c r="K185" s="4">
        <v>207</v>
      </c>
      <c r="L185" s="4">
        <v>21</v>
      </c>
      <c r="M185" s="4">
        <v>1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/>
    </row>
    <row r="186" spans="1:23" x14ac:dyDescent="0.2">
      <c r="A186" s="4">
        <v>50</v>
      </c>
      <c r="B186" s="4">
        <v>1</v>
      </c>
      <c r="C186" s="4">
        <v>0</v>
      </c>
      <c r="D186" s="4">
        <v>1</v>
      </c>
      <c r="E186" s="4">
        <v>208</v>
      </c>
      <c r="F186" s="4">
        <f>ROUND(Source!V163,O186)</f>
        <v>7.85</v>
      </c>
      <c r="G186" s="4" t="s">
        <v>97</v>
      </c>
      <c r="H186" s="4" t="s">
        <v>98</v>
      </c>
      <c r="I186" s="4"/>
      <c r="J186" s="4"/>
      <c r="K186" s="4">
        <v>208</v>
      </c>
      <c r="L186" s="4">
        <v>22</v>
      </c>
      <c r="M186" s="4">
        <v>1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/>
    </row>
    <row r="187" spans="1:23" x14ac:dyDescent="0.2">
      <c r="A187" s="4">
        <v>50</v>
      </c>
      <c r="B187" s="4">
        <v>0</v>
      </c>
      <c r="C187" s="4">
        <v>0</v>
      </c>
      <c r="D187" s="4">
        <v>1</v>
      </c>
      <c r="E187" s="4">
        <v>209</v>
      </c>
      <c r="F187" s="4">
        <f>ROUND(Source!W163,O187)</f>
        <v>0</v>
      </c>
      <c r="G187" s="4" t="s">
        <v>99</v>
      </c>
      <c r="H187" s="4" t="s">
        <v>100</v>
      </c>
      <c r="I187" s="4"/>
      <c r="J187" s="4"/>
      <c r="K187" s="4">
        <v>209</v>
      </c>
      <c r="L187" s="4">
        <v>23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3" x14ac:dyDescent="0.2">
      <c r="A188" s="4">
        <v>50</v>
      </c>
      <c r="B188" s="4">
        <v>0</v>
      </c>
      <c r="C188" s="4">
        <v>0</v>
      </c>
      <c r="D188" s="4">
        <v>1</v>
      </c>
      <c r="E188" s="4">
        <v>233</v>
      </c>
      <c r="F188" s="4">
        <f>ROUND(Source!BD163,O188)</f>
        <v>2302.79</v>
      </c>
      <c r="G188" s="4" t="s">
        <v>101</v>
      </c>
      <c r="H188" s="4" t="s">
        <v>102</v>
      </c>
      <c r="I188" s="4"/>
      <c r="J188" s="4"/>
      <c r="K188" s="4">
        <v>233</v>
      </c>
      <c r="L188" s="4">
        <v>24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/>
    </row>
    <row r="189" spans="1:23" x14ac:dyDescent="0.2">
      <c r="A189" s="4">
        <v>50</v>
      </c>
      <c r="B189" s="4">
        <v>1</v>
      </c>
      <c r="C189" s="4">
        <v>0</v>
      </c>
      <c r="D189" s="4">
        <v>1</v>
      </c>
      <c r="E189" s="4">
        <v>210</v>
      </c>
      <c r="F189" s="4">
        <f>ROUND(Source!X163,O189)</f>
        <v>16481.37</v>
      </c>
      <c r="G189" s="4" t="s">
        <v>103</v>
      </c>
      <c r="H189" s="4" t="s">
        <v>104</v>
      </c>
      <c r="I189" s="4"/>
      <c r="J189" s="4"/>
      <c r="K189" s="4">
        <v>210</v>
      </c>
      <c r="L189" s="4">
        <v>25</v>
      </c>
      <c r="M189" s="4">
        <v>1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/>
    </row>
    <row r="190" spans="1:23" x14ac:dyDescent="0.2">
      <c r="A190" s="4">
        <v>50</v>
      </c>
      <c r="B190" s="4">
        <v>1</v>
      </c>
      <c r="C190" s="4">
        <v>0</v>
      </c>
      <c r="D190" s="4">
        <v>1</v>
      </c>
      <c r="E190" s="4">
        <v>211</v>
      </c>
      <c r="F190" s="4">
        <f>ROUND(Source!Y163,O190)</f>
        <v>10549.43</v>
      </c>
      <c r="G190" s="4" t="s">
        <v>105</v>
      </c>
      <c r="H190" s="4" t="s">
        <v>106</v>
      </c>
      <c r="I190" s="4"/>
      <c r="J190" s="4"/>
      <c r="K190" s="4">
        <v>211</v>
      </c>
      <c r="L190" s="4">
        <v>26</v>
      </c>
      <c r="M190" s="4">
        <v>1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/>
    </row>
    <row r="191" spans="1:23" x14ac:dyDescent="0.2">
      <c r="A191" s="4">
        <v>50</v>
      </c>
      <c r="B191" s="4">
        <v>1</v>
      </c>
      <c r="C191" s="4">
        <v>0</v>
      </c>
      <c r="D191" s="4">
        <v>1</v>
      </c>
      <c r="E191" s="4">
        <v>224</v>
      </c>
      <c r="F191" s="4">
        <f>ROUND(Source!AR163,O191)</f>
        <v>783332.28</v>
      </c>
      <c r="G191" s="4" t="s">
        <v>107</v>
      </c>
      <c r="H191" s="4" t="s">
        <v>108</v>
      </c>
      <c r="I191" s="4"/>
      <c r="J191" s="4"/>
      <c r="K191" s="4">
        <v>224</v>
      </c>
      <c r="L191" s="4">
        <v>27</v>
      </c>
      <c r="M191" s="4">
        <v>1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/>
    </row>
    <row r="192" spans="1:23" x14ac:dyDescent="0.2">
      <c r="A192" s="4">
        <v>50</v>
      </c>
      <c r="B192" s="4">
        <v>1</v>
      </c>
      <c r="C192" s="4">
        <v>0</v>
      </c>
      <c r="D192" s="4">
        <v>2</v>
      </c>
      <c r="E192" s="4">
        <v>0</v>
      </c>
      <c r="F192" s="4">
        <f>ROUND(F191,O192)</f>
        <v>783332.28</v>
      </c>
      <c r="G192" s="4" t="s">
        <v>15</v>
      </c>
      <c r="H192" s="4" t="s">
        <v>227</v>
      </c>
      <c r="I192" s="4"/>
      <c r="J192" s="4"/>
      <c r="K192" s="4">
        <v>212</v>
      </c>
      <c r="L192" s="4">
        <v>28</v>
      </c>
      <c r="M192" s="4">
        <v>0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/>
    </row>
    <row r="193" spans="1:206" x14ac:dyDescent="0.2">
      <c r="A193" s="4">
        <v>50</v>
      </c>
      <c r="B193" s="4">
        <v>1</v>
      </c>
      <c r="C193" s="4">
        <v>0</v>
      </c>
      <c r="D193" s="4">
        <v>2</v>
      </c>
      <c r="E193" s="4">
        <v>0</v>
      </c>
      <c r="F193" s="4">
        <f>ROUND(F192*0.2,O193)</f>
        <v>156666.46</v>
      </c>
      <c r="G193" s="4" t="s">
        <v>28</v>
      </c>
      <c r="H193" s="4" t="s">
        <v>228</v>
      </c>
      <c r="I193" s="4"/>
      <c r="J193" s="4"/>
      <c r="K193" s="4">
        <v>212</v>
      </c>
      <c r="L193" s="4">
        <v>29</v>
      </c>
      <c r="M193" s="4">
        <v>0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/>
    </row>
    <row r="194" spans="1:206" x14ac:dyDescent="0.2">
      <c r="A194" s="4">
        <v>50</v>
      </c>
      <c r="B194" s="4">
        <v>1</v>
      </c>
      <c r="C194" s="4">
        <v>0</v>
      </c>
      <c r="D194" s="4">
        <v>2</v>
      </c>
      <c r="E194" s="4">
        <v>213</v>
      </c>
      <c r="F194" s="4">
        <f>ROUND(F192+F193,O194)</f>
        <v>939998.74</v>
      </c>
      <c r="G194" s="4" t="s">
        <v>33</v>
      </c>
      <c r="H194" s="4" t="s">
        <v>107</v>
      </c>
      <c r="I194" s="4"/>
      <c r="J194" s="4"/>
      <c r="K194" s="4">
        <v>212</v>
      </c>
      <c r="L194" s="4">
        <v>30</v>
      </c>
      <c r="M194" s="4">
        <v>0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/>
    </row>
    <row r="196" spans="1:206" x14ac:dyDescent="0.2">
      <c r="A196" s="2">
        <v>51</v>
      </c>
      <c r="B196" s="2">
        <f>B12</f>
        <v>258</v>
      </c>
      <c r="C196" s="2">
        <f>A12</f>
        <v>1</v>
      </c>
      <c r="D196" s="2">
        <f>ROW(A12)</f>
        <v>12</v>
      </c>
      <c r="E196" s="2"/>
      <c r="F196" s="2" t="str">
        <f>IF(F12&lt;&gt;"",F12,"")</f>
        <v>Новый объект</v>
      </c>
      <c r="G196" s="2" t="str">
        <f>IF(G12&lt;&gt;"",G12,"")</f>
        <v>Замена оконных и дверных блоков в здании ФАУ МО РФ ЦСКА по адресу: 125167, г. Москва, Ленинградский проспект, д. 39, стр. 29</v>
      </c>
      <c r="H196" s="2">
        <v>0</v>
      </c>
      <c r="I196" s="2"/>
      <c r="J196" s="2"/>
      <c r="K196" s="2"/>
      <c r="L196" s="2"/>
      <c r="M196" s="2"/>
      <c r="N196" s="2"/>
      <c r="O196" s="2">
        <f t="shared" ref="O196:T196" si="122">ROUND(O163,2)</f>
        <v>753998.69</v>
      </c>
      <c r="P196" s="2">
        <f t="shared" si="122"/>
        <v>732716</v>
      </c>
      <c r="Q196" s="2">
        <f t="shared" si="122"/>
        <v>4393.3100000000004</v>
      </c>
      <c r="R196" s="2">
        <f t="shared" si="122"/>
        <v>721.83</v>
      </c>
      <c r="S196" s="2">
        <f t="shared" si="122"/>
        <v>16889.38</v>
      </c>
      <c r="T196" s="2">
        <f t="shared" si="122"/>
        <v>0</v>
      </c>
      <c r="U196" s="2">
        <f>U163</f>
        <v>247.10728459999996</v>
      </c>
      <c r="V196" s="2">
        <f>V163</f>
        <v>7.848255</v>
      </c>
      <c r="W196" s="2">
        <f>ROUND(W163,2)</f>
        <v>0</v>
      </c>
      <c r="X196" s="2">
        <f>ROUND(X163,2)</f>
        <v>16481.37</v>
      </c>
      <c r="Y196" s="2">
        <f>ROUND(Y163,2)</f>
        <v>10549.43</v>
      </c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>
        <f t="shared" ref="AO196:BD196" si="123">ROUND(AO163,2)</f>
        <v>0</v>
      </c>
      <c r="AP196" s="2">
        <f t="shared" si="123"/>
        <v>0</v>
      </c>
      <c r="AQ196" s="2">
        <f t="shared" si="123"/>
        <v>0</v>
      </c>
      <c r="AR196" s="2">
        <f t="shared" si="123"/>
        <v>783332.28</v>
      </c>
      <c r="AS196" s="2">
        <f t="shared" si="123"/>
        <v>783332.28</v>
      </c>
      <c r="AT196" s="2">
        <f t="shared" si="123"/>
        <v>0</v>
      </c>
      <c r="AU196" s="2">
        <f t="shared" si="123"/>
        <v>0</v>
      </c>
      <c r="AV196" s="2">
        <f t="shared" si="123"/>
        <v>732716</v>
      </c>
      <c r="AW196" s="2">
        <f t="shared" si="123"/>
        <v>732716</v>
      </c>
      <c r="AX196" s="2">
        <f t="shared" si="123"/>
        <v>0</v>
      </c>
      <c r="AY196" s="2">
        <f t="shared" si="123"/>
        <v>732716</v>
      </c>
      <c r="AZ196" s="2">
        <f t="shared" si="123"/>
        <v>0</v>
      </c>
      <c r="BA196" s="2">
        <f t="shared" si="123"/>
        <v>0</v>
      </c>
      <c r="BB196" s="2">
        <f t="shared" si="123"/>
        <v>0</v>
      </c>
      <c r="BC196" s="2">
        <f t="shared" si="123"/>
        <v>0</v>
      </c>
      <c r="BD196" s="2">
        <f t="shared" si="123"/>
        <v>2302.79</v>
      </c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>
        <v>0</v>
      </c>
    </row>
    <row r="198" spans="1:206" x14ac:dyDescent="0.2">
      <c r="A198" s="4">
        <v>50</v>
      </c>
      <c r="B198" s="4">
        <v>1</v>
      </c>
      <c r="C198" s="4">
        <v>0</v>
      </c>
      <c r="D198" s="4">
        <v>1</v>
      </c>
      <c r="E198" s="4">
        <v>201</v>
      </c>
      <c r="F198" s="4">
        <f>ROUND(Source!O196,O198)</f>
        <v>753998.69</v>
      </c>
      <c r="G198" s="4" t="s">
        <v>55</v>
      </c>
      <c r="H198" s="4" t="s">
        <v>56</v>
      </c>
      <c r="I198" s="4"/>
      <c r="J198" s="4"/>
      <c r="K198" s="4">
        <v>201</v>
      </c>
      <c r="L198" s="4">
        <v>1</v>
      </c>
      <c r="M198" s="4">
        <v>1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/>
    </row>
    <row r="199" spans="1:206" x14ac:dyDescent="0.2">
      <c r="A199" s="4">
        <v>50</v>
      </c>
      <c r="B199" s="4">
        <v>1</v>
      </c>
      <c r="C199" s="4">
        <v>0</v>
      </c>
      <c r="D199" s="4">
        <v>1</v>
      </c>
      <c r="E199" s="4">
        <v>202</v>
      </c>
      <c r="F199" s="4">
        <f>ROUND(Source!P196,O199)</f>
        <v>732716</v>
      </c>
      <c r="G199" s="4" t="s">
        <v>57</v>
      </c>
      <c r="H199" s="4" t="s">
        <v>58</v>
      </c>
      <c r="I199" s="4"/>
      <c r="J199" s="4"/>
      <c r="K199" s="4">
        <v>202</v>
      </c>
      <c r="L199" s="4">
        <v>2</v>
      </c>
      <c r="M199" s="4">
        <v>1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/>
    </row>
    <row r="200" spans="1:206" x14ac:dyDescent="0.2">
      <c r="A200" s="4">
        <v>50</v>
      </c>
      <c r="B200" s="4">
        <v>0</v>
      </c>
      <c r="C200" s="4">
        <v>0</v>
      </c>
      <c r="D200" s="4">
        <v>1</v>
      </c>
      <c r="E200" s="4">
        <v>222</v>
      </c>
      <c r="F200" s="4">
        <f>ROUND(Source!AO196,O200)</f>
        <v>0</v>
      </c>
      <c r="G200" s="4" t="s">
        <v>59</v>
      </c>
      <c r="H200" s="4" t="s">
        <v>60</v>
      </c>
      <c r="I200" s="4"/>
      <c r="J200" s="4"/>
      <c r="K200" s="4">
        <v>222</v>
      </c>
      <c r="L200" s="4">
        <v>3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/>
    </row>
    <row r="201" spans="1:206" x14ac:dyDescent="0.2">
      <c r="A201" s="4">
        <v>50</v>
      </c>
      <c r="B201" s="4">
        <v>0</v>
      </c>
      <c r="C201" s="4">
        <v>0</v>
      </c>
      <c r="D201" s="4">
        <v>1</v>
      </c>
      <c r="E201" s="4">
        <v>225</v>
      </c>
      <c r="F201" s="4">
        <f>ROUND(Source!AV196,O201)</f>
        <v>732716</v>
      </c>
      <c r="G201" s="4" t="s">
        <v>61</v>
      </c>
      <c r="H201" s="4" t="s">
        <v>62</v>
      </c>
      <c r="I201" s="4"/>
      <c r="J201" s="4"/>
      <c r="K201" s="4">
        <v>225</v>
      </c>
      <c r="L201" s="4">
        <v>4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/>
    </row>
    <row r="202" spans="1:206" x14ac:dyDescent="0.2">
      <c r="A202" s="4">
        <v>50</v>
      </c>
      <c r="B202" s="4">
        <v>1</v>
      </c>
      <c r="C202" s="4">
        <v>0</v>
      </c>
      <c r="D202" s="4">
        <v>1</v>
      </c>
      <c r="E202" s="4">
        <v>226</v>
      </c>
      <c r="F202" s="4">
        <f>ROUND(Source!AW196,O202)</f>
        <v>732716</v>
      </c>
      <c r="G202" s="4" t="s">
        <v>63</v>
      </c>
      <c r="H202" s="4" t="s">
        <v>64</v>
      </c>
      <c r="I202" s="4"/>
      <c r="J202" s="4"/>
      <c r="K202" s="4">
        <v>226</v>
      </c>
      <c r="L202" s="4">
        <v>5</v>
      </c>
      <c r="M202" s="4">
        <v>1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/>
    </row>
    <row r="203" spans="1:206" x14ac:dyDescent="0.2">
      <c r="A203" s="4">
        <v>50</v>
      </c>
      <c r="B203" s="4">
        <v>0</v>
      </c>
      <c r="C203" s="4">
        <v>0</v>
      </c>
      <c r="D203" s="4">
        <v>1</v>
      </c>
      <c r="E203" s="4">
        <v>227</v>
      </c>
      <c r="F203" s="4">
        <f>ROUND(Source!AX196,O203)</f>
        <v>0</v>
      </c>
      <c r="G203" s="4" t="s">
        <v>65</v>
      </c>
      <c r="H203" s="4" t="s">
        <v>66</v>
      </c>
      <c r="I203" s="4"/>
      <c r="J203" s="4"/>
      <c r="K203" s="4">
        <v>227</v>
      </c>
      <c r="L203" s="4">
        <v>6</v>
      </c>
      <c r="M203" s="4">
        <v>3</v>
      </c>
      <c r="N203" s="4" t="s">
        <v>3</v>
      </c>
      <c r="O203" s="4">
        <v>2</v>
      </c>
      <c r="P203" s="4"/>
      <c r="Q203" s="4"/>
      <c r="R203" s="4"/>
      <c r="S203" s="4"/>
      <c r="T203" s="4"/>
      <c r="U203" s="4"/>
      <c r="V203" s="4"/>
      <c r="W203" s="4"/>
    </row>
    <row r="204" spans="1:206" x14ac:dyDescent="0.2">
      <c r="A204" s="4">
        <v>50</v>
      </c>
      <c r="B204" s="4">
        <v>0</v>
      </c>
      <c r="C204" s="4">
        <v>0</v>
      </c>
      <c r="D204" s="4">
        <v>1</v>
      </c>
      <c r="E204" s="4">
        <v>228</v>
      </c>
      <c r="F204" s="4">
        <f>ROUND(Source!AY196,O204)</f>
        <v>732716</v>
      </c>
      <c r="G204" s="4" t="s">
        <v>67</v>
      </c>
      <c r="H204" s="4" t="s">
        <v>68</v>
      </c>
      <c r="I204" s="4"/>
      <c r="J204" s="4"/>
      <c r="K204" s="4">
        <v>228</v>
      </c>
      <c r="L204" s="4">
        <v>7</v>
      </c>
      <c r="M204" s="4">
        <v>3</v>
      </c>
      <c r="N204" s="4" t="s">
        <v>3</v>
      </c>
      <c r="O204" s="4">
        <v>2</v>
      </c>
      <c r="P204" s="4"/>
      <c r="Q204" s="4"/>
      <c r="R204" s="4"/>
      <c r="S204" s="4"/>
      <c r="T204" s="4"/>
      <c r="U204" s="4"/>
      <c r="V204" s="4"/>
      <c r="W204" s="4"/>
    </row>
    <row r="205" spans="1:206" x14ac:dyDescent="0.2">
      <c r="A205" s="4">
        <v>50</v>
      </c>
      <c r="B205" s="4">
        <v>0</v>
      </c>
      <c r="C205" s="4">
        <v>0</v>
      </c>
      <c r="D205" s="4">
        <v>1</v>
      </c>
      <c r="E205" s="4">
        <v>216</v>
      </c>
      <c r="F205" s="4">
        <f>ROUND(Source!AP196,O205)</f>
        <v>0</v>
      </c>
      <c r="G205" s="4" t="s">
        <v>69</v>
      </c>
      <c r="H205" s="4" t="s">
        <v>70</v>
      </c>
      <c r="I205" s="4"/>
      <c r="J205" s="4"/>
      <c r="K205" s="4">
        <v>216</v>
      </c>
      <c r="L205" s="4">
        <v>8</v>
      </c>
      <c r="M205" s="4">
        <v>1</v>
      </c>
      <c r="N205" s="4" t="s">
        <v>3</v>
      </c>
      <c r="O205" s="4">
        <v>2</v>
      </c>
      <c r="P205" s="4"/>
      <c r="Q205" s="4"/>
      <c r="R205" s="4"/>
      <c r="S205" s="4"/>
      <c r="T205" s="4"/>
      <c r="U205" s="4"/>
      <c r="V205" s="4"/>
      <c r="W205" s="4"/>
    </row>
    <row r="206" spans="1:206" x14ac:dyDescent="0.2">
      <c r="A206" s="4">
        <v>50</v>
      </c>
      <c r="B206" s="4">
        <v>0</v>
      </c>
      <c r="C206" s="4">
        <v>0</v>
      </c>
      <c r="D206" s="4">
        <v>1</v>
      </c>
      <c r="E206" s="4">
        <v>223</v>
      </c>
      <c r="F206" s="4">
        <f>ROUND(Source!AQ196,O206)</f>
        <v>0</v>
      </c>
      <c r="G206" s="4" t="s">
        <v>71</v>
      </c>
      <c r="H206" s="4" t="s">
        <v>72</v>
      </c>
      <c r="I206" s="4"/>
      <c r="J206" s="4"/>
      <c r="K206" s="4">
        <v>223</v>
      </c>
      <c r="L206" s="4">
        <v>9</v>
      </c>
      <c r="M206" s="4">
        <v>3</v>
      </c>
      <c r="N206" s="4" t="s">
        <v>3</v>
      </c>
      <c r="O206" s="4">
        <v>2</v>
      </c>
      <c r="P206" s="4"/>
      <c r="Q206" s="4"/>
      <c r="R206" s="4"/>
      <c r="S206" s="4"/>
      <c r="T206" s="4"/>
      <c r="U206" s="4"/>
      <c r="V206" s="4"/>
      <c r="W206" s="4"/>
    </row>
    <row r="207" spans="1:206" x14ac:dyDescent="0.2">
      <c r="A207" s="4">
        <v>50</v>
      </c>
      <c r="B207" s="4">
        <v>0</v>
      </c>
      <c r="C207" s="4">
        <v>0</v>
      </c>
      <c r="D207" s="4">
        <v>1</v>
      </c>
      <c r="E207" s="4">
        <v>229</v>
      </c>
      <c r="F207" s="4">
        <f>ROUND(Source!AZ196,O207)</f>
        <v>0</v>
      </c>
      <c r="G207" s="4" t="s">
        <v>73</v>
      </c>
      <c r="H207" s="4" t="s">
        <v>74</v>
      </c>
      <c r="I207" s="4"/>
      <c r="J207" s="4"/>
      <c r="K207" s="4">
        <v>229</v>
      </c>
      <c r="L207" s="4">
        <v>10</v>
      </c>
      <c r="M207" s="4">
        <v>3</v>
      </c>
      <c r="N207" s="4" t="s">
        <v>3</v>
      </c>
      <c r="O207" s="4">
        <v>2</v>
      </c>
      <c r="P207" s="4"/>
      <c r="Q207" s="4"/>
      <c r="R207" s="4"/>
      <c r="S207" s="4"/>
      <c r="T207" s="4"/>
      <c r="U207" s="4"/>
      <c r="V207" s="4"/>
      <c r="W207" s="4"/>
    </row>
    <row r="208" spans="1:206" x14ac:dyDescent="0.2">
      <c r="A208" s="4">
        <v>50</v>
      </c>
      <c r="B208" s="4">
        <v>1</v>
      </c>
      <c r="C208" s="4">
        <v>0</v>
      </c>
      <c r="D208" s="4">
        <v>1</v>
      </c>
      <c r="E208" s="4">
        <v>203</v>
      </c>
      <c r="F208" s="4">
        <f>ROUND(Source!Q196,O208)</f>
        <v>4393.3100000000004</v>
      </c>
      <c r="G208" s="4" t="s">
        <v>75</v>
      </c>
      <c r="H208" s="4" t="s">
        <v>76</v>
      </c>
      <c r="I208" s="4"/>
      <c r="J208" s="4"/>
      <c r="K208" s="4">
        <v>203</v>
      </c>
      <c r="L208" s="4">
        <v>11</v>
      </c>
      <c r="M208" s="4">
        <v>1</v>
      </c>
      <c r="N208" s="4" t="s">
        <v>3</v>
      </c>
      <c r="O208" s="4">
        <v>2</v>
      </c>
      <c r="P208" s="4"/>
      <c r="Q208" s="4"/>
      <c r="R208" s="4"/>
      <c r="S208" s="4"/>
      <c r="T208" s="4"/>
      <c r="U208" s="4"/>
      <c r="V208" s="4"/>
      <c r="W208" s="4"/>
    </row>
    <row r="209" spans="1:23" x14ac:dyDescent="0.2">
      <c r="A209" s="4">
        <v>50</v>
      </c>
      <c r="B209" s="4">
        <v>0</v>
      </c>
      <c r="C209" s="4">
        <v>0</v>
      </c>
      <c r="D209" s="4">
        <v>1</v>
      </c>
      <c r="E209" s="4">
        <v>231</v>
      </c>
      <c r="F209" s="4">
        <f>ROUND(Source!BB196,O209)</f>
        <v>0</v>
      </c>
      <c r="G209" s="4" t="s">
        <v>77</v>
      </c>
      <c r="H209" s="4" t="s">
        <v>78</v>
      </c>
      <c r="I209" s="4"/>
      <c r="J209" s="4"/>
      <c r="K209" s="4">
        <v>231</v>
      </c>
      <c r="L209" s="4">
        <v>12</v>
      </c>
      <c r="M209" s="4">
        <v>3</v>
      </c>
      <c r="N209" s="4" t="s">
        <v>3</v>
      </c>
      <c r="O209" s="4">
        <v>2</v>
      </c>
      <c r="P209" s="4"/>
      <c r="Q209" s="4"/>
      <c r="R209" s="4"/>
      <c r="S209" s="4"/>
      <c r="T209" s="4"/>
      <c r="U209" s="4"/>
      <c r="V209" s="4"/>
      <c r="W209" s="4"/>
    </row>
    <row r="210" spans="1:23" x14ac:dyDescent="0.2">
      <c r="A210" s="4">
        <v>50</v>
      </c>
      <c r="B210" s="4">
        <v>1</v>
      </c>
      <c r="C210" s="4">
        <v>0</v>
      </c>
      <c r="D210" s="4">
        <v>1</v>
      </c>
      <c r="E210" s="4">
        <v>204</v>
      </c>
      <c r="F210" s="4">
        <f>ROUND(Source!R196,O210)</f>
        <v>721.83</v>
      </c>
      <c r="G210" s="4" t="s">
        <v>79</v>
      </c>
      <c r="H210" s="4" t="s">
        <v>80</v>
      </c>
      <c r="I210" s="4"/>
      <c r="J210" s="4"/>
      <c r="K210" s="4">
        <v>204</v>
      </c>
      <c r="L210" s="4">
        <v>13</v>
      </c>
      <c r="M210" s="4">
        <v>1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/>
    </row>
    <row r="211" spans="1:23" x14ac:dyDescent="0.2">
      <c r="A211" s="4">
        <v>50</v>
      </c>
      <c r="B211" s="4">
        <v>1</v>
      </c>
      <c r="C211" s="4">
        <v>0</v>
      </c>
      <c r="D211" s="4">
        <v>1</v>
      </c>
      <c r="E211" s="4">
        <v>205</v>
      </c>
      <c r="F211" s="4">
        <f>ROUND(Source!S196,O211)</f>
        <v>16889.38</v>
      </c>
      <c r="G211" s="4" t="s">
        <v>81</v>
      </c>
      <c r="H211" s="4" t="s">
        <v>82</v>
      </c>
      <c r="I211" s="4"/>
      <c r="J211" s="4"/>
      <c r="K211" s="4">
        <v>205</v>
      </c>
      <c r="L211" s="4">
        <v>14</v>
      </c>
      <c r="M211" s="4">
        <v>1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/>
    </row>
    <row r="212" spans="1:23" x14ac:dyDescent="0.2">
      <c r="A212" s="4">
        <v>50</v>
      </c>
      <c r="B212" s="4">
        <v>0</v>
      </c>
      <c r="C212" s="4">
        <v>0</v>
      </c>
      <c r="D212" s="4">
        <v>1</v>
      </c>
      <c r="E212" s="4">
        <v>232</v>
      </c>
      <c r="F212" s="4">
        <f>ROUND(Source!BC196,O212)</f>
        <v>0</v>
      </c>
      <c r="G212" s="4" t="s">
        <v>83</v>
      </c>
      <c r="H212" s="4" t="s">
        <v>84</v>
      </c>
      <c r="I212" s="4"/>
      <c r="J212" s="4"/>
      <c r="K212" s="4">
        <v>232</v>
      </c>
      <c r="L212" s="4">
        <v>15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/>
    </row>
    <row r="213" spans="1:23" x14ac:dyDescent="0.2">
      <c r="A213" s="4">
        <v>50</v>
      </c>
      <c r="B213" s="4">
        <v>1</v>
      </c>
      <c r="C213" s="4">
        <v>0</v>
      </c>
      <c r="D213" s="4">
        <v>1</v>
      </c>
      <c r="E213" s="4">
        <v>214</v>
      </c>
      <c r="F213" s="4">
        <f>ROUND(Source!AS196,O213)</f>
        <v>783332.28</v>
      </c>
      <c r="G213" s="4" t="s">
        <v>85</v>
      </c>
      <c r="H213" s="4" t="s">
        <v>86</v>
      </c>
      <c r="I213" s="4"/>
      <c r="J213" s="4"/>
      <c r="K213" s="4">
        <v>214</v>
      </c>
      <c r="L213" s="4">
        <v>16</v>
      </c>
      <c r="M213" s="4">
        <v>1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/>
    </row>
    <row r="214" spans="1:23" x14ac:dyDescent="0.2">
      <c r="A214" s="4">
        <v>50</v>
      </c>
      <c r="B214" s="4">
        <v>0</v>
      </c>
      <c r="C214" s="4">
        <v>0</v>
      </c>
      <c r="D214" s="4">
        <v>1</v>
      </c>
      <c r="E214" s="4">
        <v>215</v>
      </c>
      <c r="F214" s="4">
        <f>ROUND(Source!AT196,O214)</f>
        <v>0</v>
      </c>
      <c r="G214" s="4" t="s">
        <v>87</v>
      </c>
      <c r="H214" s="4" t="s">
        <v>88</v>
      </c>
      <c r="I214" s="4"/>
      <c r="J214" s="4"/>
      <c r="K214" s="4">
        <v>215</v>
      </c>
      <c r="L214" s="4">
        <v>17</v>
      </c>
      <c r="M214" s="4">
        <v>1</v>
      </c>
      <c r="N214" s="4" t="s">
        <v>3</v>
      </c>
      <c r="O214" s="4">
        <v>2</v>
      </c>
      <c r="P214" s="4"/>
      <c r="Q214" s="4"/>
      <c r="R214" s="4"/>
      <c r="S214" s="4"/>
      <c r="T214" s="4"/>
      <c r="U214" s="4"/>
      <c r="V214" s="4"/>
      <c r="W214" s="4"/>
    </row>
    <row r="215" spans="1:23" x14ac:dyDescent="0.2">
      <c r="A215" s="4">
        <v>50</v>
      </c>
      <c r="B215" s="4">
        <v>0</v>
      </c>
      <c r="C215" s="4">
        <v>0</v>
      </c>
      <c r="D215" s="4">
        <v>1</v>
      </c>
      <c r="E215" s="4">
        <v>217</v>
      </c>
      <c r="F215" s="4">
        <f>ROUND(Source!AU196,O215)</f>
        <v>0</v>
      </c>
      <c r="G215" s="4" t="s">
        <v>89</v>
      </c>
      <c r="H215" s="4" t="s">
        <v>90</v>
      </c>
      <c r="I215" s="4"/>
      <c r="J215" s="4"/>
      <c r="K215" s="4">
        <v>217</v>
      </c>
      <c r="L215" s="4">
        <v>18</v>
      </c>
      <c r="M215" s="4">
        <v>1</v>
      </c>
      <c r="N215" s="4" t="s">
        <v>3</v>
      </c>
      <c r="O215" s="4">
        <v>2</v>
      </c>
      <c r="P215" s="4"/>
      <c r="Q215" s="4"/>
      <c r="R215" s="4"/>
      <c r="S215" s="4"/>
      <c r="T215" s="4"/>
      <c r="U215" s="4"/>
      <c r="V215" s="4"/>
      <c r="W215" s="4"/>
    </row>
    <row r="216" spans="1:23" x14ac:dyDescent="0.2">
      <c r="A216" s="4">
        <v>50</v>
      </c>
      <c r="B216" s="4">
        <v>0</v>
      </c>
      <c r="C216" s="4">
        <v>0</v>
      </c>
      <c r="D216" s="4">
        <v>1</v>
      </c>
      <c r="E216" s="4">
        <v>230</v>
      </c>
      <c r="F216" s="4">
        <f>ROUND(Source!BA196,O216)</f>
        <v>0</v>
      </c>
      <c r="G216" s="4" t="s">
        <v>91</v>
      </c>
      <c r="H216" s="4" t="s">
        <v>92</v>
      </c>
      <c r="I216" s="4"/>
      <c r="J216" s="4"/>
      <c r="K216" s="4">
        <v>230</v>
      </c>
      <c r="L216" s="4">
        <v>19</v>
      </c>
      <c r="M216" s="4">
        <v>3</v>
      </c>
      <c r="N216" s="4" t="s">
        <v>3</v>
      </c>
      <c r="O216" s="4">
        <v>2</v>
      </c>
      <c r="P216" s="4"/>
      <c r="Q216" s="4"/>
      <c r="R216" s="4"/>
      <c r="S216" s="4"/>
      <c r="T216" s="4"/>
      <c r="U216" s="4"/>
      <c r="V216" s="4"/>
      <c r="W216" s="4"/>
    </row>
    <row r="217" spans="1:23" x14ac:dyDescent="0.2">
      <c r="A217" s="4">
        <v>50</v>
      </c>
      <c r="B217" s="4">
        <v>0</v>
      </c>
      <c r="C217" s="4">
        <v>0</v>
      </c>
      <c r="D217" s="4">
        <v>1</v>
      </c>
      <c r="E217" s="4">
        <v>206</v>
      </c>
      <c r="F217" s="4">
        <f>ROUND(Source!T196,O217)</f>
        <v>0</v>
      </c>
      <c r="G217" s="4" t="s">
        <v>93</v>
      </c>
      <c r="H217" s="4" t="s">
        <v>94</v>
      </c>
      <c r="I217" s="4"/>
      <c r="J217" s="4"/>
      <c r="K217" s="4">
        <v>206</v>
      </c>
      <c r="L217" s="4">
        <v>20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/>
    </row>
    <row r="218" spans="1:23" x14ac:dyDescent="0.2">
      <c r="A218" s="4">
        <v>50</v>
      </c>
      <c r="B218" s="4">
        <v>1</v>
      </c>
      <c r="C218" s="4">
        <v>0</v>
      </c>
      <c r="D218" s="4">
        <v>1</v>
      </c>
      <c r="E218" s="4">
        <v>207</v>
      </c>
      <c r="F218" s="4">
        <f>ROUND(Source!U196,O218)</f>
        <v>247.11</v>
      </c>
      <c r="G218" s="4" t="s">
        <v>95</v>
      </c>
      <c r="H218" s="4" t="s">
        <v>96</v>
      </c>
      <c r="I218" s="4"/>
      <c r="J218" s="4"/>
      <c r="K218" s="4">
        <v>207</v>
      </c>
      <c r="L218" s="4">
        <v>21</v>
      </c>
      <c r="M218" s="4">
        <v>1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/>
    </row>
    <row r="219" spans="1:23" x14ac:dyDescent="0.2">
      <c r="A219" s="4">
        <v>50</v>
      </c>
      <c r="B219" s="4">
        <v>1</v>
      </c>
      <c r="C219" s="4">
        <v>0</v>
      </c>
      <c r="D219" s="4">
        <v>1</v>
      </c>
      <c r="E219" s="4">
        <v>208</v>
      </c>
      <c r="F219" s="4">
        <f>ROUND(Source!V196,O219)</f>
        <v>7.85</v>
      </c>
      <c r="G219" s="4" t="s">
        <v>97</v>
      </c>
      <c r="H219" s="4" t="s">
        <v>98</v>
      </c>
      <c r="I219" s="4"/>
      <c r="J219" s="4"/>
      <c r="K219" s="4">
        <v>208</v>
      </c>
      <c r="L219" s="4">
        <v>22</v>
      </c>
      <c r="M219" s="4">
        <v>1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/>
    </row>
    <row r="220" spans="1:23" x14ac:dyDescent="0.2">
      <c r="A220" s="4">
        <v>50</v>
      </c>
      <c r="B220" s="4">
        <v>0</v>
      </c>
      <c r="C220" s="4">
        <v>0</v>
      </c>
      <c r="D220" s="4">
        <v>1</v>
      </c>
      <c r="E220" s="4">
        <v>209</v>
      </c>
      <c r="F220" s="4">
        <f>ROUND(Source!W196,O220)</f>
        <v>0</v>
      </c>
      <c r="G220" s="4" t="s">
        <v>99</v>
      </c>
      <c r="H220" s="4" t="s">
        <v>100</v>
      </c>
      <c r="I220" s="4"/>
      <c r="J220" s="4"/>
      <c r="K220" s="4">
        <v>209</v>
      </c>
      <c r="L220" s="4">
        <v>23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/>
    </row>
    <row r="221" spans="1:23" x14ac:dyDescent="0.2">
      <c r="A221" s="4">
        <v>50</v>
      </c>
      <c r="B221" s="4">
        <v>0</v>
      </c>
      <c r="C221" s="4">
        <v>0</v>
      </c>
      <c r="D221" s="4">
        <v>1</v>
      </c>
      <c r="E221" s="4">
        <v>233</v>
      </c>
      <c r="F221" s="4">
        <f>ROUND(Source!BD196,O221)</f>
        <v>2302.79</v>
      </c>
      <c r="G221" s="4" t="s">
        <v>101</v>
      </c>
      <c r="H221" s="4" t="s">
        <v>102</v>
      </c>
      <c r="I221" s="4"/>
      <c r="J221" s="4"/>
      <c r="K221" s="4">
        <v>233</v>
      </c>
      <c r="L221" s="4">
        <v>24</v>
      </c>
      <c r="M221" s="4">
        <v>3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/>
    </row>
    <row r="222" spans="1:23" x14ac:dyDescent="0.2">
      <c r="A222" s="4">
        <v>50</v>
      </c>
      <c r="B222" s="4">
        <v>1</v>
      </c>
      <c r="C222" s="4">
        <v>0</v>
      </c>
      <c r="D222" s="4">
        <v>1</v>
      </c>
      <c r="E222" s="4">
        <v>210</v>
      </c>
      <c r="F222" s="4">
        <f>ROUND(Source!X196,O222)</f>
        <v>16481.37</v>
      </c>
      <c r="G222" s="4" t="s">
        <v>103</v>
      </c>
      <c r="H222" s="4" t="s">
        <v>104</v>
      </c>
      <c r="I222" s="4"/>
      <c r="J222" s="4"/>
      <c r="K222" s="4">
        <v>210</v>
      </c>
      <c r="L222" s="4">
        <v>25</v>
      </c>
      <c r="M222" s="4">
        <v>1</v>
      </c>
      <c r="N222" s="4" t="s">
        <v>3</v>
      </c>
      <c r="O222" s="4">
        <v>2</v>
      </c>
      <c r="P222" s="4"/>
      <c r="Q222" s="4"/>
      <c r="R222" s="4"/>
      <c r="S222" s="4"/>
      <c r="T222" s="4"/>
      <c r="U222" s="4"/>
      <c r="V222" s="4"/>
      <c r="W222" s="4"/>
    </row>
    <row r="223" spans="1:23" x14ac:dyDescent="0.2">
      <c r="A223" s="4">
        <v>50</v>
      </c>
      <c r="B223" s="4">
        <v>1</v>
      </c>
      <c r="C223" s="4">
        <v>0</v>
      </c>
      <c r="D223" s="4">
        <v>1</v>
      </c>
      <c r="E223" s="4">
        <v>211</v>
      </c>
      <c r="F223" s="4">
        <f>ROUND(Source!Y196,O223)</f>
        <v>10549.43</v>
      </c>
      <c r="G223" s="4" t="s">
        <v>105</v>
      </c>
      <c r="H223" s="4" t="s">
        <v>106</v>
      </c>
      <c r="I223" s="4"/>
      <c r="J223" s="4"/>
      <c r="K223" s="4">
        <v>211</v>
      </c>
      <c r="L223" s="4">
        <v>26</v>
      </c>
      <c r="M223" s="4">
        <v>1</v>
      </c>
      <c r="N223" s="4" t="s">
        <v>3</v>
      </c>
      <c r="O223" s="4">
        <v>2</v>
      </c>
      <c r="P223" s="4"/>
      <c r="Q223" s="4"/>
      <c r="R223" s="4"/>
      <c r="S223" s="4"/>
      <c r="T223" s="4"/>
      <c r="U223" s="4"/>
      <c r="V223" s="4"/>
      <c r="W223" s="4"/>
    </row>
    <row r="224" spans="1:23" x14ac:dyDescent="0.2">
      <c r="A224" s="4">
        <v>50</v>
      </c>
      <c r="B224" s="4">
        <v>1</v>
      </c>
      <c r="C224" s="4">
        <v>0</v>
      </c>
      <c r="D224" s="4">
        <v>1</v>
      </c>
      <c r="E224" s="4">
        <v>224</v>
      </c>
      <c r="F224" s="4">
        <f>ROUND(Source!AR196,O224)</f>
        <v>783332.28</v>
      </c>
      <c r="G224" s="4" t="s">
        <v>107</v>
      </c>
      <c r="H224" s="4" t="s">
        <v>108</v>
      </c>
      <c r="I224" s="4"/>
      <c r="J224" s="4"/>
      <c r="K224" s="4">
        <v>224</v>
      </c>
      <c r="L224" s="4">
        <v>27</v>
      </c>
      <c r="M224" s="4">
        <v>1</v>
      </c>
      <c r="N224" s="4" t="s">
        <v>3</v>
      </c>
      <c r="O224" s="4">
        <v>2</v>
      </c>
      <c r="P224" s="4"/>
      <c r="Q224" s="4"/>
      <c r="R224" s="4"/>
      <c r="S224" s="4"/>
      <c r="T224" s="4"/>
      <c r="U224" s="4"/>
      <c r="V224" s="4"/>
      <c r="W224" s="4"/>
    </row>
    <row r="225" spans="1:23" x14ac:dyDescent="0.2">
      <c r="A225" s="4">
        <v>50</v>
      </c>
      <c r="B225" s="4">
        <v>1</v>
      </c>
      <c r="C225" s="4">
        <v>0</v>
      </c>
      <c r="D225" s="4">
        <v>2</v>
      </c>
      <c r="E225" s="4">
        <v>0</v>
      </c>
      <c r="F225" s="4">
        <f>ROUND(F224,O225)</f>
        <v>783332.28</v>
      </c>
      <c r="G225" s="4" t="s">
        <v>15</v>
      </c>
      <c r="H225" s="4" t="s">
        <v>227</v>
      </c>
      <c r="I225" s="4"/>
      <c r="J225" s="4"/>
      <c r="K225" s="4">
        <v>212</v>
      </c>
      <c r="L225" s="4">
        <v>28</v>
      </c>
      <c r="M225" s="4">
        <v>0</v>
      </c>
      <c r="N225" s="4" t="s">
        <v>3</v>
      </c>
      <c r="O225" s="4">
        <v>2</v>
      </c>
      <c r="P225" s="4"/>
      <c r="Q225" s="4"/>
      <c r="R225" s="4"/>
      <c r="S225" s="4"/>
      <c r="T225" s="4"/>
      <c r="U225" s="4"/>
      <c r="V225" s="4"/>
      <c r="W225" s="4"/>
    </row>
    <row r="226" spans="1:23" x14ac:dyDescent="0.2">
      <c r="A226" s="4">
        <v>50</v>
      </c>
      <c r="B226" s="4">
        <v>1</v>
      </c>
      <c r="C226" s="4">
        <v>0</v>
      </c>
      <c r="D226" s="4">
        <v>2</v>
      </c>
      <c r="E226" s="4">
        <v>0</v>
      </c>
      <c r="F226" s="4">
        <f>ROUND(F225*0.2,O226)</f>
        <v>156666.46</v>
      </c>
      <c r="G226" s="4" t="s">
        <v>28</v>
      </c>
      <c r="H226" s="4" t="s">
        <v>228</v>
      </c>
      <c r="I226" s="4"/>
      <c r="J226" s="4"/>
      <c r="K226" s="4">
        <v>212</v>
      </c>
      <c r="L226" s="4">
        <v>29</v>
      </c>
      <c r="M226" s="4">
        <v>0</v>
      </c>
      <c r="N226" s="4" t="s">
        <v>3</v>
      </c>
      <c r="O226" s="4">
        <v>2</v>
      </c>
      <c r="P226" s="4"/>
      <c r="Q226" s="4"/>
      <c r="R226" s="4"/>
      <c r="S226" s="4"/>
      <c r="T226" s="4"/>
      <c r="U226" s="4"/>
      <c r="V226" s="4"/>
      <c r="W226" s="4"/>
    </row>
    <row r="227" spans="1:23" x14ac:dyDescent="0.2">
      <c r="A227" s="4">
        <v>50</v>
      </c>
      <c r="B227" s="4">
        <v>1</v>
      </c>
      <c r="C227" s="4">
        <v>0</v>
      </c>
      <c r="D227" s="4">
        <v>2</v>
      </c>
      <c r="E227" s="4">
        <v>213</v>
      </c>
      <c r="F227" s="4">
        <f>ROUND(F225+F226,O227)</f>
        <v>939998.74</v>
      </c>
      <c r="G227" s="4" t="s">
        <v>33</v>
      </c>
      <c r="H227" s="4" t="s">
        <v>107</v>
      </c>
      <c r="I227" s="4"/>
      <c r="J227" s="4"/>
      <c r="K227" s="4">
        <v>212</v>
      </c>
      <c r="L227" s="4">
        <v>30</v>
      </c>
      <c r="M227" s="4">
        <v>0</v>
      </c>
      <c r="N227" s="4" t="s">
        <v>3</v>
      </c>
      <c r="O227" s="4">
        <v>2</v>
      </c>
      <c r="P227" s="4"/>
      <c r="Q227" s="4"/>
      <c r="R227" s="4"/>
      <c r="S227" s="4"/>
      <c r="T227" s="4"/>
      <c r="U227" s="4"/>
      <c r="V227" s="4"/>
      <c r="W227" s="4"/>
    </row>
    <row r="230" spans="1:23" x14ac:dyDescent="0.2">
      <c r="A230">
        <v>70</v>
      </c>
      <c r="B230">
        <v>1</v>
      </c>
      <c r="D230">
        <v>1</v>
      </c>
      <c r="E230" t="s">
        <v>229</v>
      </c>
      <c r="F230" t="s">
        <v>230</v>
      </c>
      <c r="G230">
        <v>0</v>
      </c>
      <c r="H230">
        <v>0</v>
      </c>
      <c r="I230" t="s">
        <v>3</v>
      </c>
      <c r="J230">
        <v>1</v>
      </c>
      <c r="K230">
        <v>0</v>
      </c>
      <c r="L230" t="s">
        <v>3</v>
      </c>
      <c r="M230" t="s">
        <v>3</v>
      </c>
      <c r="N230">
        <v>0</v>
      </c>
    </row>
    <row r="231" spans="1:23" x14ac:dyDescent="0.2">
      <c r="A231">
        <v>70</v>
      </c>
      <c r="B231">
        <v>1</v>
      </c>
      <c r="D231">
        <v>2</v>
      </c>
      <c r="E231" t="s">
        <v>231</v>
      </c>
      <c r="F231" t="s">
        <v>232</v>
      </c>
      <c r="G231">
        <v>1</v>
      </c>
      <c r="H231">
        <v>0</v>
      </c>
      <c r="I231" t="s">
        <v>3</v>
      </c>
      <c r="J231">
        <v>1</v>
      </c>
      <c r="K231">
        <v>0</v>
      </c>
      <c r="L231" t="s">
        <v>3</v>
      </c>
      <c r="M231" t="s">
        <v>3</v>
      </c>
      <c r="N231">
        <v>0</v>
      </c>
    </row>
    <row r="232" spans="1:23" x14ac:dyDescent="0.2">
      <c r="A232">
        <v>70</v>
      </c>
      <c r="B232">
        <v>1</v>
      </c>
      <c r="D232">
        <v>3</v>
      </c>
      <c r="E232" t="s">
        <v>233</v>
      </c>
      <c r="F232" t="s">
        <v>234</v>
      </c>
      <c r="G232">
        <v>0</v>
      </c>
      <c r="H232">
        <v>0</v>
      </c>
      <c r="I232" t="s">
        <v>3</v>
      </c>
      <c r="J232">
        <v>1</v>
      </c>
      <c r="K232">
        <v>0</v>
      </c>
      <c r="L232" t="s">
        <v>3</v>
      </c>
      <c r="M232" t="s">
        <v>3</v>
      </c>
      <c r="N232">
        <v>0</v>
      </c>
    </row>
    <row r="233" spans="1:23" x14ac:dyDescent="0.2">
      <c r="A233">
        <v>70</v>
      </c>
      <c r="B233">
        <v>1</v>
      </c>
      <c r="D233">
        <v>4</v>
      </c>
      <c r="E233" t="s">
        <v>235</v>
      </c>
      <c r="F233" t="s">
        <v>236</v>
      </c>
      <c r="G233">
        <v>0</v>
      </c>
      <c r="H233">
        <v>0</v>
      </c>
      <c r="I233" t="s">
        <v>237</v>
      </c>
      <c r="J233">
        <v>0</v>
      </c>
      <c r="K233">
        <v>0</v>
      </c>
      <c r="L233" t="s">
        <v>3</v>
      </c>
      <c r="M233" t="s">
        <v>3</v>
      </c>
      <c r="N233">
        <v>0</v>
      </c>
    </row>
    <row r="234" spans="1:23" x14ac:dyDescent="0.2">
      <c r="A234">
        <v>70</v>
      </c>
      <c r="B234">
        <v>1</v>
      </c>
      <c r="D234">
        <v>5</v>
      </c>
      <c r="E234" t="s">
        <v>238</v>
      </c>
      <c r="F234" t="s">
        <v>239</v>
      </c>
      <c r="G234">
        <v>0</v>
      </c>
      <c r="H234">
        <v>0</v>
      </c>
      <c r="I234" t="s">
        <v>240</v>
      </c>
      <c r="J234">
        <v>0</v>
      </c>
      <c r="K234">
        <v>0</v>
      </c>
      <c r="L234" t="s">
        <v>3</v>
      </c>
      <c r="M234" t="s">
        <v>3</v>
      </c>
      <c r="N234">
        <v>0</v>
      </c>
    </row>
    <row r="235" spans="1:23" x14ac:dyDescent="0.2">
      <c r="A235">
        <v>70</v>
      </c>
      <c r="B235">
        <v>1</v>
      </c>
      <c r="D235">
        <v>6</v>
      </c>
      <c r="E235" t="s">
        <v>241</v>
      </c>
      <c r="F235" t="s">
        <v>242</v>
      </c>
      <c r="G235">
        <v>0</v>
      </c>
      <c r="H235">
        <v>0</v>
      </c>
      <c r="I235" t="s">
        <v>243</v>
      </c>
      <c r="J235">
        <v>0</v>
      </c>
      <c r="K235">
        <v>0</v>
      </c>
      <c r="L235" t="s">
        <v>3</v>
      </c>
      <c r="M235" t="s">
        <v>3</v>
      </c>
      <c r="N235">
        <v>0</v>
      </c>
    </row>
    <row r="236" spans="1:23" x14ac:dyDescent="0.2">
      <c r="A236">
        <v>70</v>
      </c>
      <c r="B236">
        <v>1</v>
      </c>
      <c r="D236">
        <v>7</v>
      </c>
      <c r="E236" t="s">
        <v>244</v>
      </c>
      <c r="F236" t="s">
        <v>245</v>
      </c>
      <c r="G236">
        <v>1</v>
      </c>
      <c r="H236">
        <v>0</v>
      </c>
      <c r="I236" t="s">
        <v>3</v>
      </c>
      <c r="J236">
        <v>0</v>
      </c>
      <c r="K236">
        <v>0</v>
      </c>
      <c r="L236" t="s">
        <v>3</v>
      </c>
      <c r="M236" t="s">
        <v>3</v>
      </c>
      <c r="N236">
        <v>0</v>
      </c>
    </row>
    <row r="237" spans="1:23" x14ac:dyDescent="0.2">
      <c r="A237">
        <v>70</v>
      </c>
      <c r="B237">
        <v>1</v>
      </c>
      <c r="D237">
        <v>8</v>
      </c>
      <c r="E237" t="s">
        <v>246</v>
      </c>
      <c r="F237" t="s">
        <v>247</v>
      </c>
      <c r="G237">
        <v>0</v>
      </c>
      <c r="H237">
        <v>0</v>
      </c>
      <c r="I237" t="s">
        <v>248</v>
      </c>
      <c r="J237">
        <v>0</v>
      </c>
      <c r="K237">
        <v>0</v>
      </c>
      <c r="L237" t="s">
        <v>3</v>
      </c>
      <c r="M237" t="s">
        <v>3</v>
      </c>
      <c r="N237">
        <v>0</v>
      </c>
    </row>
    <row r="238" spans="1:23" x14ac:dyDescent="0.2">
      <c r="A238">
        <v>70</v>
      </c>
      <c r="B238">
        <v>1</v>
      </c>
      <c r="D238">
        <v>9</v>
      </c>
      <c r="E238" t="s">
        <v>249</v>
      </c>
      <c r="F238" t="s">
        <v>250</v>
      </c>
      <c r="G238">
        <v>0</v>
      </c>
      <c r="H238">
        <v>0</v>
      </c>
      <c r="I238" t="s">
        <v>251</v>
      </c>
      <c r="J238">
        <v>0</v>
      </c>
      <c r="K238">
        <v>0</v>
      </c>
      <c r="L238" t="s">
        <v>3</v>
      </c>
      <c r="M238" t="s">
        <v>3</v>
      </c>
      <c r="N238">
        <v>0</v>
      </c>
    </row>
    <row r="239" spans="1:23" x14ac:dyDescent="0.2">
      <c r="A239">
        <v>70</v>
      </c>
      <c r="B239">
        <v>1</v>
      </c>
      <c r="D239">
        <v>10</v>
      </c>
      <c r="E239" t="s">
        <v>252</v>
      </c>
      <c r="F239" t="s">
        <v>253</v>
      </c>
      <c r="G239">
        <v>0</v>
      </c>
      <c r="H239">
        <v>0</v>
      </c>
      <c r="I239" t="s">
        <v>254</v>
      </c>
      <c r="J239">
        <v>0</v>
      </c>
      <c r="K239">
        <v>0</v>
      </c>
      <c r="L239" t="s">
        <v>3</v>
      </c>
      <c r="M239" t="s">
        <v>3</v>
      </c>
      <c r="N239">
        <v>0</v>
      </c>
    </row>
    <row r="240" spans="1:23" x14ac:dyDescent="0.2">
      <c r="A240">
        <v>70</v>
      </c>
      <c r="B240">
        <v>1</v>
      </c>
      <c r="D240">
        <v>11</v>
      </c>
      <c r="E240" t="s">
        <v>255</v>
      </c>
      <c r="F240" t="s">
        <v>256</v>
      </c>
      <c r="G240">
        <v>0</v>
      </c>
      <c r="H240">
        <v>0</v>
      </c>
      <c r="I240" t="s">
        <v>257</v>
      </c>
      <c r="J240">
        <v>0</v>
      </c>
      <c r="K240">
        <v>0</v>
      </c>
      <c r="L240" t="s">
        <v>3</v>
      </c>
      <c r="M240" t="s">
        <v>3</v>
      </c>
      <c r="N240">
        <v>0</v>
      </c>
    </row>
    <row r="241" spans="1:14" x14ac:dyDescent="0.2">
      <c r="A241">
        <v>70</v>
      </c>
      <c r="B241">
        <v>1</v>
      </c>
      <c r="D241">
        <v>12</v>
      </c>
      <c r="E241" t="s">
        <v>258</v>
      </c>
      <c r="F241" t="s">
        <v>259</v>
      </c>
      <c r="G241">
        <v>0</v>
      </c>
      <c r="H241">
        <v>0</v>
      </c>
      <c r="I241" t="s">
        <v>3</v>
      </c>
      <c r="J241">
        <v>0</v>
      </c>
      <c r="K241">
        <v>0</v>
      </c>
      <c r="L241" t="s">
        <v>3</v>
      </c>
      <c r="M241" t="s">
        <v>3</v>
      </c>
      <c r="N241">
        <v>0</v>
      </c>
    </row>
    <row r="242" spans="1:14" x14ac:dyDescent="0.2">
      <c r="A242">
        <v>70</v>
      </c>
      <c r="B242">
        <v>1</v>
      </c>
      <c r="D242">
        <v>1</v>
      </c>
      <c r="E242" t="s">
        <v>260</v>
      </c>
      <c r="F242" t="s">
        <v>261</v>
      </c>
      <c r="G242">
        <v>0.9</v>
      </c>
      <c r="H242">
        <v>1</v>
      </c>
      <c r="I242" t="s">
        <v>262</v>
      </c>
      <c r="J242">
        <v>0</v>
      </c>
      <c r="K242">
        <v>0</v>
      </c>
      <c r="L242" t="s">
        <v>3</v>
      </c>
      <c r="M242" t="s">
        <v>3</v>
      </c>
      <c r="N242">
        <v>0</v>
      </c>
    </row>
    <row r="243" spans="1:14" x14ac:dyDescent="0.2">
      <c r="A243">
        <v>70</v>
      </c>
      <c r="B243">
        <v>1</v>
      </c>
      <c r="D243">
        <v>2</v>
      </c>
      <c r="E243" t="s">
        <v>263</v>
      </c>
      <c r="F243" t="s">
        <v>264</v>
      </c>
      <c r="G243">
        <v>0.85</v>
      </c>
      <c r="H243">
        <v>1</v>
      </c>
      <c r="I243" t="s">
        <v>265</v>
      </c>
      <c r="J243">
        <v>0</v>
      </c>
      <c r="K243">
        <v>0</v>
      </c>
      <c r="L243" t="s">
        <v>3</v>
      </c>
      <c r="M243" t="s">
        <v>3</v>
      </c>
      <c r="N243">
        <v>0</v>
      </c>
    </row>
    <row r="244" spans="1:14" x14ac:dyDescent="0.2">
      <c r="A244">
        <v>70</v>
      </c>
      <c r="B244">
        <v>1</v>
      </c>
      <c r="D244">
        <v>3</v>
      </c>
      <c r="E244" t="s">
        <v>266</v>
      </c>
      <c r="F244" t="s">
        <v>267</v>
      </c>
      <c r="G244">
        <v>1</v>
      </c>
      <c r="H244">
        <v>0.85</v>
      </c>
      <c r="I244" t="s">
        <v>268</v>
      </c>
      <c r="J244">
        <v>0</v>
      </c>
      <c r="K244">
        <v>0</v>
      </c>
      <c r="L244" t="s">
        <v>3</v>
      </c>
      <c r="M244" t="s">
        <v>3</v>
      </c>
      <c r="N244">
        <v>0</v>
      </c>
    </row>
    <row r="245" spans="1:14" x14ac:dyDescent="0.2">
      <c r="A245">
        <v>70</v>
      </c>
      <c r="B245">
        <v>1</v>
      </c>
      <c r="D245">
        <v>4</v>
      </c>
      <c r="E245" t="s">
        <v>269</v>
      </c>
      <c r="F245" t="s">
        <v>270</v>
      </c>
      <c r="G245">
        <v>1</v>
      </c>
      <c r="H245">
        <v>0</v>
      </c>
      <c r="I245" t="s">
        <v>3</v>
      </c>
      <c r="J245">
        <v>0</v>
      </c>
      <c r="K245">
        <v>0</v>
      </c>
      <c r="L245" t="s">
        <v>3</v>
      </c>
      <c r="M245" t="s">
        <v>3</v>
      </c>
      <c r="N245">
        <v>0</v>
      </c>
    </row>
    <row r="246" spans="1:14" x14ac:dyDescent="0.2">
      <c r="A246">
        <v>70</v>
      </c>
      <c r="B246">
        <v>1</v>
      </c>
      <c r="D246">
        <v>5</v>
      </c>
      <c r="E246" t="s">
        <v>271</v>
      </c>
      <c r="F246" t="s">
        <v>272</v>
      </c>
      <c r="G246">
        <v>1</v>
      </c>
      <c r="H246">
        <v>0.8</v>
      </c>
      <c r="I246" t="s">
        <v>273</v>
      </c>
      <c r="J246">
        <v>0</v>
      </c>
      <c r="K246">
        <v>0</v>
      </c>
      <c r="L246" t="s">
        <v>3</v>
      </c>
      <c r="M246" t="s">
        <v>3</v>
      </c>
      <c r="N246">
        <v>0</v>
      </c>
    </row>
    <row r="247" spans="1:14" x14ac:dyDescent="0.2">
      <c r="A247">
        <v>70</v>
      </c>
      <c r="B247">
        <v>1</v>
      </c>
      <c r="D247">
        <v>6</v>
      </c>
      <c r="E247" t="s">
        <v>274</v>
      </c>
      <c r="F247" t="s">
        <v>275</v>
      </c>
      <c r="G247">
        <v>0.85</v>
      </c>
      <c r="H247">
        <v>0</v>
      </c>
      <c r="I247" t="s">
        <v>3</v>
      </c>
      <c r="J247">
        <v>0</v>
      </c>
      <c r="K247">
        <v>0</v>
      </c>
      <c r="L247" t="s">
        <v>3</v>
      </c>
      <c r="M247" t="s">
        <v>3</v>
      </c>
      <c r="N247">
        <v>0</v>
      </c>
    </row>
    <row r="248" spans="1:14" x14ac:dyDescent="0.2">
      <c r="A248">
        <v>70</v>
      </c>
      <c r="B248">
        <v>1</v>
      </c>
      <c r="D248">
        <v>7</v>
      </c>
      <c r="E248" t="s">
        <v>276</v>
      </c>
      <c r="F248" t="s">
        <v>277</v>
      </c>
      <c r="G248">
        <v>0.8</v>
      </c>
      <c r="H248">
        <v>0</v>
      </c>
      <c r="I248" t="s">
        <v>3</v>
      </c>
      <c r="J248">
        <v>0</v>
      </c>
      <c r="K248">
        <v>0</v>
      </c>
      <c r="L248" t="s">
        <v>3</v>
      </c>
      <c r="M248" t="s">
        <v>3</v>
      </c>
      <c r="N248">
        <v>0</v>
      </c>
    </row>
    <row r="249" spans="1:14" x14ac:dyDescent="0.2">
      <c r="A249">
        <v>70</v>
      </c>
      <c r="B249">
        <v>1</v>
      </c>
      <c r="D249">
        <v>8</v>
      </c>
      <c r="E249" t="s">
        <v>278</v>
      </c>
      <c r="F249" t="s">
        <v>279</v>
      </c>
      <c r="G249">
        <v>0.7</v>
      </c>
      <c r="H249">
        <v>0</v>
      </c>
      <c r="I249" t="s">
        <v>3</v>
      </c>
      <c r="J249">
        <v>0</v>
      </c>
      <c r="K249">
        <v>0</v>
      </c>
      <c r="L249" t="s">
        <v>3</v>
      </c>
      <c r="M249" t="s">
        <v>3</v>
      </c>
      <c r="N249">
        <v>0</v>
      </c>
    </row>
    <row r="250" spans="1:14" x14ac:dyDescent="0.2">
      <c r="A250">
        <v>70</v>
      </c>
      <c r="B250">
        <v>1</v>
      </c>
      <c r="D250">
        <v>9</v>
      </c>
      <c r="E250" t="s">
        <v>280</v>
      </c>
      <c r="F250" t="s">
        <v>281</v>
      </c>
      <c r="G250">
        <v>0.9</v>
      </c>
      <c r="H250">
        <v>0</v>
      </c>
      <c r="I250" t="s">
        <v>3</v>
      </c>
      <c r="J250">
        <v>0</v>
      </c>
      <c r="K250">
        <v>0</v>
      </c>
      <c r="L250" t="s">
        <v>3</v>
      </c>
      <c r="M250" t="s">
        <v>3</v>
      </c>
      <c r="N250">
        <v>0</v>
      </c>
    </row>
    <row r="251" spans="1:14" x14ac:dyDescent="0.2">
      <c r="A251">
        <v>70</v>
      </c>
      <c r="B251">
        <v>1</v>
      </c>
      <c r="D251">
        <v>10</v>
      </c>
      <c r="E251" t="s">
        <v>282</v>
      </c>
      <c r="F251" t="s">
        <v>283</v>
      </c>
      <c r="G251">
        <v>0.6</v>
      </c>
      <c r="H251">
        <v>0</v>
      </c>
      <c r="I251" t="s">
        <v>3</v>
      </c>
      <c r="J251">
        <v>0</v>
      </c>
      <c r="K251">
        <v>0</v>
      </c>
      <c r="L251" t="s">
        <v>3</v>
      </c>
      <c r="M251" t="s">
        <v>3</v>
      </c>
      <c r="N251">
        <v>0</v>
      </c>
    </row>
    <row r="252" spans="1:14" x14ac:dyDescent="0.2">
      <c r="A252">
        <v>70</v>
      </c>
      <c r="B252">
        <v>1</v>
      </c>
      <c r="D252">
        <v>11</v>
      </c>
      <c r="E252" t="s">
        <v>284</v>
      </c>
      <c r="F252" t="s">
        <v>285</v>
      </c>
      <c r="G252">
        <v>1.2</v>
      </c>
      <c r="H252">
        <v>0</v>
      </c>
      <c r="I252" t="s">
        <v>3</v>
      </c>
      <c r="J252">
        <v>0</v>
      </c>
      <c r="K252">
        <v>0</v>
      </c>
      <c r="L252" t="s">
        <v>3</v>
      </c>
      <c r="M252" t="s">
        <v>3</v>
      </c>
      <c r="N252">
        <v>0</v>
      </c>
    </row>
    <row r="253" spans="1:14" x14ac:dyDescent="0.2">
      <c r="A253">
        <v>70</v>
      </c>
      <c r="B253">
        <v>1</v>
      </c>
      <c r="D253">
        <v>12</v>
      </c>
      <c r="E253" t="s">
        <v>286</v>
      </c>
      <c r="F253" t="s">
        <v>287</v>
      </c>
      <c r="G253">
        <v>0</v>
      </c>
      <c r="H253">
        <v>0</v>
      </c>
      <c r="I253" t="s">
        <v>3</v>
      </c>
      <c r="J253">
        <v>0</v>
      </c>
      <c r="K253">
        <v>0</v>
      </c>
      <c r="L253" t="s">
        <v>3</v>
      </c>
      <c r="M253" t="s">
        <v>3</v>
      </c>
      <c r="N253">
        <v>0</v>
      </c>
    </row>
    <row r="254" spans="1:14" x14ac:dyDescent="0.2">
      <c r="A254">
        <v>70</v>
      </c>
      <c r="B254">
        <v>1</v>
      </c>
      <c r="D254">
        <v>13</v>
      </c>
      <c r="E254" t="s">
        <v>288</v>
      </c>
      <c r="F254" t="s">
        <v>289</v>
      </c>
      <c r="G254">
        <v>1</v>
      </c>
      <c r="H254">
        <v>0</v>
      </c>
      <c r="I254" t="s">
        <v>3</v>
      </c>
      <c r="J254">
        <v>0</v>
      </c>
      <c r="K254">
        <v>0</v>
      </c>
      <c r="L254" t="s">
        <v>3</v>
      </c>
      <c r="M254" t="s">
        <v>3</v>
      </c>
      <c r="N254">
        <v>0</v>
      </c>
    </row>
    <row r="256" spans="1:14" x14ac:dyDescent="0.2">
      <c r="A256">
        <v>-1</v>
      </c>
    </row>
    <row r="258" spans="1:40" x14ac:dyDescent="0.2">
      <c r="A258" s="3">
        <v>75</v>
      </c>
      <c r="B258" s="3" t="s">
        <v>290</v>
      </c>
      <c r="C258" s="3">
        <v>2020</v>
      </c>
      <c r="D258" s="3">
        <v>4</v>
      </c>
      <c r="E258" s="3">
        <v>0</v>
      </c>
      <c r="F258" s="3">
        <v>0</v>
      </c>
      <c r="G258" s="3">
        <v>0</v>
      </c>
      <c r="H258" s="3">
        <v>1</v>
      </c>
      <c r="I258" s="3">
        <v>0</v>
      </c>
      <c r="J258" s="3">
        <v>3</v>
      </c>
      <c r="K258" s="3">
        <v>0</v>
      </c>
      <c r="L258" s="3">
        <v>0</v>
      </c>
      <c r="M258" s="3">
        <v>0</v>
      </c>
      <c r="N258" s="3">
        <v>96554872</v>
      </c>
      <c r="O258" s="3">
        <v>1</v>
      </c>
    </row>
    <row r="259" spans="1:40" x14ac:dyDescent="0.2">
      <c r="A259" s="5">
        <v>3</v>
      </c>
      <c r="B259" s="5" t="s">
        <v>291</v>
      </c>
      <c r="C259" s="5">
        <v>7.73</v>
      </c>
      <c r="D259" s="5">
        <v>1</v>
      </c>
      <c r="E259" s="5">
        <v>1</v>
      </c>
      <c r="F259" s="5">
        <v>1</v>
      </c>
      <c r="G259" s="5">
        <v>1</v>
      </c>
      <c r="H259" s="5">
        <v>1</v>
      </c>
      <c r="I259" s="5">
        <v>1</v>
      </c>
      <c r="J259" s="5">
        <v>1</v>
      </c>
      <c r="K259" s="5">
        <v>1</v>
      </c>
      <c r="L259" s="5">
        <v>1</v>
      </c>
      <c r="M259" s="5">
        <v>7.73</v>
      </c>
      <c r="N259" s="5">
        <v>1</v>
      </c>
      <c r="O259" s="5">
        <v>1</v>
      </c>
      <c r="P259" s="5">
        <v>1</v>
      </c>
      <c r="Q259" s="5">
        <v>1</v>
      </c>
      <c r="R259" s="5">
        <v>1</v>
      </c>
      <c r="S259" s="5" t="s">
        <v>20</v>
      </c>
      <c r="T259" s="5" t="s">
        <v>3</v>
      </c>
      <c r="U259" s="5" t="s">
        <v>3</v>
      </c>
      <c r="V259" s="5" t="s">
        <v>3</v>
      </c>
      <c r="W259" s="5" t="s">
        <v>3</v>
      </c>
      <c r="X259" s="5" t="s">
        <v>3</v>
      </c>
      <c r="Y259" s="5" t="s">
        <v>3</v>
      </c>
      <c r="Z259" s="5" t="s">
        <v>3</v>
      </c>
      <c r="AA259" s="5" t="s">
        <v>3</v>
      </c>
      <c r="AB259" s="5" t="s">
        <v>3</v>
      </c>
      <c r="AC259" s="5" t="s">
        <v>3</v>
      </c>
      <c r="AD259" s="5" t="s">
        <v>3</v>
      </c>
      <c r="AE259" s="5" t="s">
        <v>3</v>
      </c>
      <c r="AF259" s="5" t="s">
        <v>3</v>
      </c>
      <c r="AG259" s="5" t="s">
        <v>3</v>
      </c>
      <c r="AH259" s="5" t="s">
        <v>3</v>
      </c>
      <c r="AI259" s="5"/>
      <c r="AJ259" s="5"/>
      <c r="AK259" s="5"/>
      <c r="AL259" s="5"/>
      <c r="AM259" s="5"/>
      <c r="AN259" s="5">
        <v>96554886</v>
      </c>
    </row>
    <row r="263" spans="1:40" x14ac:dyDescent="0.2">
      <c r="A263">
        <v>65</v>
      </c>
      <c r="C263">
        <v>1</v>
      </c>
      <c r="D263">
        <v>0</v>
      </c>
      <c r="E263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5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292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53431</v>
      </c>
      <c r="M1">
        <v>10</v>
      </c>
      <c r="N1">
        <v>11</v>
      </c>
      <c r="O1">
        <v>2</v>
      </c>
      <c r="P1">
        <v>0</v>
      </c>
      <c r="Q1">
        <v>1</v>
      </c>
    </row>
    <row r="12" spans="1:133" x14ac:dyDescent="0.2">
      <c r="A12" s="1">
        <v>1</v>
      </c>
      <c r="B12" s="1">
        <v>54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1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17629192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96554872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12</v>
      </c>
      <c r="D16" s="6" t="s">
        <v>12</v>
      </c>
      <c r="E16" s="7">
        <f>(Source!F180)/1000</f>
        <v>783.33228000000008</v>
      </c>
      <c r="F16" s="7">
        <f>(Source!F181)/1000</f>
        <v>0</v>
      </c>
      <c r="G16" s="7">
        <f>(Source!F172)/1000</f>
        <v>0</v>
      </c>
      <c r="H16" s="7">
        <f>(Source!F182)/1000+(Source!F183)/1000</f>
        <v>0</v>
      </c>
      <c r="I16" s="7">
        <f>E16+F16+G16+H16</f>
        <v>783.33228000000008</v>
      </c>
      <c r="J16" s="7">
        <f>(Source!F178)/1000</f>
        <v>16.889380000000003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753998.69</v>
      </c>
      <c r="AU16" s="7">
        <v>732716</v>
      </c>
      <c r="AV16" s="7">
        <v>0</v>
      </c>
      <c r="AW16" s="7">
        <v>0</v>
      </c>
      <c r="AX16" s="7">
        <v>0</v>
      </c>
      <c r="AY16" s="7">
        <v>4393.3100000000004</v>
      </c>
      <c r="AZ16" s="7">
        <v>721.83</v>
      </c>
      <c r="BA16" s="7">
        <v>16889.38</v>
      </c>
      <c r="BB16" s="7">
        <v>783332.28</v>
      </c>
      <c r="BC16" s="7">
        <v>0</v>
      </c>
      <c r="BD16" s="7">
        <v>0</v>
      </c>
      <c r="BE16" s="7">
        <v>0</v>
      </c>
      <c r="BF16" s="7">
        <v>247.11</v>
      </c>
      <c r="BG16" s="7">
        <v>7.85</v>
      </c>
      <c r="BH16" s="7">
        <v>0</v>
      </c>
      <c r="BI16" s="7">
        <v>16481.37</v>
      </c>
      <c r="BJ16" s="7">
        <v>10549.43</v>
      </c>
      <c r="BK16" s="7">
        <v>783332.28</v>
      </c>
    </row>
    <row r="18" spans="1:19" x14ac:dyDescent="0.2">
      <c r="A18">
        <v>51</v>
      </c>
      <c r="E18" s="8">
        <f>SUMIF(A16:A17,3,E16:E17)</f>
        <v>783.33228000000008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783.33228000000008</v>
      </c>
      <c r="J18" s="8">
        <f>SUMIF(A16:A17,3,J16:J17)</f>
        <v>16.889380000000003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f>IF(SourceObSm!F20&lt;&gt;0,1,0)</f>
        <v>1</v>
      </c>
      <c r="C20" s="4">
        <v>0</v>
      </c>
      <c r="D20" s="4">
        <v>1</v>
      </c>
      <c r="E20" s="4">
        <v>201</v>
      </c>
      <c r="F20" s="4">
        <v>753998.69</v>
      </c>
      <c r="G20" s="4" t="s">
        <v>55</v>
      </c>
      <c r="H20" s="4" t="s">
        <v>56</v>
      </c>
      <c r="I20" s="4"/>
      <c r="J20" s="4"/>
      <c r="K20" s="4">
        <v>201</v>
      </c>
      <c r="L20" s="4">
        <v>1</v>
      </c>
      <c r="M20" s="4">
        <v>1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f>IF(SourceObSm!F21&lt;&gt;0,1,0)</f>
        <v>1</v>
      </c>
      <c r="C21" s="4">
        <v>0</v>
      </c>
      <c r="D21" s="4">
        <v>1</v>
      </c>
      <c r="E21" s="4">
        <v>202</v>
      </c>
      <c r="F21" s="4">
        <v>732716</v>
      </c>
      <c r="G21" s="4" t="s">
        <v>57</v>
      </c>
      <c r="H21" s="4" t="s">
        <v>58</v>
      </c>
      <c r="I21" s="4"/>
      <c r="J21" s="4"/>
      <c r="K21" s="4">
        <v>202</v>
      </c>
      <c r="L21" s="4">
        <v>2</v>
      </c>
      <c r="M21" s="4">
        <v>1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59</v>
      </c>
      <c r="H22" s="4" t="s">
        <v>60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732716</v>
      </c>
      <c r="G23" s="4" t="s">
        <v>61</v>
      </c>
      <c r="H23" s="4" t="s">
        <v>62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f>IF(SourceObSm!F24&lt;&gt;0,1,0)</f>
        <v>1</v>
      </c>
      <c r="C24" s="4">
        <v>0</v>
      </c>
      <c r="D24" s="4">
        <v>1</v>
      </c>
      <c r="E24" s="4">
        <v>226</v>
      </c>
      <c r="F24" s="4">
        <v>732716</v>
      </c>
      <c r="G24" s="4" t="s">
        <v>63</v>
      </c>
      <c r="H24" s="4" t="s">
        <v>64</v>
      </c>
      <c r="I24" s="4"/>
      <c r="J24" s="4"/>
      <c r="K24" s="4">
        <v>226</v>
      </c>
      <c r="L24" s="4">
        <v>5</v>
      </c>
      <c r="M24" s="4">
        <v>1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65</v>
      </c>
      <c r="H25" s="4" t="s">
        <v>66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732716</v>
      </c>
      <c r="G26" s="4" t="s">
        <v>67</v>
      </c>
      <c r="H26" s="4" t="s">
        <v>68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f>IF(SourceObSm!F27&lt;&gt;0,1,0)</f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69</v>
      </c>
      <c r="H27" s="4" t="s">
        <v>70</v>
      </c>
      <c r="I27" s="4"/>
      <c r="J27" s="4"/>
      <c r="K27" s="4">
        <v>216</v>
      </c>
      <c r="L27" s="4">
        <v>8</v>
      </c>
      <c r="M27" s="4">
        <v>1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71</v>
      </c>
      <c r="H28" s="4" t="s">
        <v>72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73</v>
      </c>
      <c r="H29" s="4" t="s">
        <v>74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f>IF(SourceObSm!F30&lt;&gt;0,1,0)</f>
        <v>1</v>
      </c>
      <c r="C30" s="4">
        <v>0</v>
      </c>
      <c r="D30" s="4">
        <v>1</v>
      </c>
      <c r="E30" s="4">
        <v>203</v>
      </c>
      <c r="F30" s="4">
        <v>4393.3100000000004</v>
      </c>
      <c r="G30" s="4" t="s">
        <v>75</v>
      </c>
      <c r="H30" s="4" t="s">
        <v>76</v>
      </c>
      <c r="I30" s="4"/>
      <c r="J30" s="4"/>
      <c r="K30" s="4">
        <v>203</v>
      </c>
      <c r="L30" s="4">
        <v>11</v>
      </c>
      <c r="M30" s="4">
        <v>1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77</v>
      </c>
      <c r="H31" s="4" t="s">
        <v>78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f>IF(SourceObSm!F32&lt;&gt;0,1,0)</f>
        <v>1</v>
      </c>
      <c r="C32" s="4">
        <v>0</v>
      </c>
      <c r="D32" s="4">
        <v>1</v>
      </c>
      <c r="E32" s="4">
        <v>204</v>
      </c>
      <c r="F32" s="4">
        <v>721.83</v>
      </c>
      <c r="G32" s="4" t="s">
        <v>79</v>
      </c>
      <c r="H32" s="4" t="s">
        <v>80</v>
      </c>
      <c r="I32" s="4"/>
      <c r="J32" s="4"/>
      <c r="K32" s="4">
        <v>204</v>
      </c>
      <c r="L32" s="4">
        <v>13</v>
      </c>
      <c r="M32" s="4">
        <v>1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f>IF(SourceObSm!F33&lt;&gt;0,1,0)</f>
        <v>1</v>
      </c>
      <c r="C33" s="4">
        <v>0</v>
      </c>
      <c r="D33" s="4">
        <v>1</v>
      </c>
      <c r="E33" s="4">
        <v>205</v>
      </c>
      <c r="F33" s="4">
        <v>16889.38</v>
      </c>
      <c r="G33" s="4" t="s">
        <v>81</v>
      </c>
      <c r="H33" s="4" t="s">
        <v>82</v>
      </c>
      <c r="I33" s="4"/>
      <c r="J33" s="4"/>
      <c r="K33" s="4">
        <v>205</v>
      </c>
      <c r="L33" s="4">
        <v>14</v>
      </c>
      <c r="M33" s="4">
        <v>1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83</v>
      </c>
      <c r="H34" s="4" t="s">
        <v>84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f>IF(SourceObSm!F35&lt;&gt;0,1,0)</f>
        <v>1</v>
      </c>
      <c r="C35" s="4">
        <v>0</v>
      </c>
      <c r="D35" s="4">
        <v>1</v>
      </c>
      <c r="E35" s="4">
        <v>214</v>
      </c>
      <c r="F35" s="4">
        <v>783332.28</v>
      </c>
      <c r="G35" s="4" t="s">
        <v>85</v>
      </c>
      <c r="H35" s="4" t="s">
        <v>86</v>
      </c>
      <c r="I35" s="4"/>
      <c r="J35" s="4"/>
      <c r="K35" s="4">
        <v>214</v>
      </c>
      <c r="L35" s="4">
        <v>16</v>
      </c>
      <c r="M35" s="4">
        <v>1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f>IF(SourceObSm!F36&lt;&gt;0,1,0)</f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87</v>
      </c>
      <c r="H36" s="4" t="s">
        <v>88</v>
      </c>
      <c r="I36" s="4"/>
      <c r="J36" s="4"/>
      <c r="K36" s="4">
        <v>215</v>
      </c>
      <c r="L36" s="4">
        <v>17</v>
      </c>
      <c r="M36" s="4">
        <v>1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f>IF(SourceObSm!F37&lt;&gt;0,1,0)</f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89</v>
      </c>
      <c r="H37" s="4" t="s">
        <v>90</v>
      </c>
      <c r="I37" s="4"/>
      <c r="J37" s="4"/>
      <c r="K37" s="4">
        <v>217</v>
      </c>
      <c r="L37" s="4">
        <v>18</v>
      </c>
      <c r="M37" s="4">
        <v>1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91</v>
      </c>
      <c r="H38" s="4" t="s">
        <v>92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93</v>
      </c>
      <c r="H39" s="4" t="s">
        <v>94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f>IF(SourceObSm!F40&lt;&gt;0,1,0)</f>
        <v>1</v>
      </c>
      <c r="C40" s="4">
        <v>0</v>
      </c>
      <c r="D40" s="4">
        <v>1</v>
      </c>
      <c r="E40" s="4">
        <v>207</v>
      </c>
      <c r="F40" s="4">
        <v>247.11</v>
      </c>
      <c r="G40" s="4" t="s">
        <v>95</v>
      </c>
      <c r="H40" s="4" t="s">
        <v>96</v>
      </c>
      <c r="I40" s="4"/>
      <c r="J40" s="4"/>
      <c r="K40" s="4">
        <v>207</v>
      </c>
      <c r="L40" s="4">
        <v>21</v>
      </c>
      <c r="M40" s="4">
        <v>1</v>
      </c>
      <c r="N40" s="4" t="s">
        <v>3</v>
      </c>
      <c r="O40" s="4">
        <v>2</v>
      </c>
      <c r="P40" s="4"/>
    </row>
    <row r="41" spans="1:16" x14ac:dyDescent="0.2">
      <c r="A41" s="4">
        <v>50</v>
      </c>
      <c r="B41" s="4">
        <f>IF(SourceObSm!F41&lt;&gt;0,1,0)</f>
        <v>1</v>
      </c>
      <c r="C41" s="4">
        <v>0</v>
      </c>
      <c r="D41" s="4">
        <v>1</v>
      </c>
      <c r="E41" s="4">
        <v>208</v>
      </c>
      <c r="F41" s="4">
        <v>7.85</v>
      </c>
      <c r="G41" s="4" t="s">
        <v>97</v>
      </c>
      <c r="H41" s="4" t="s">
        <v>98</v>
      </c>
      <c r="I41" s="4"/>
      <c r="J41" s="4"/>
      <c r="K41" s="4">
        <v>208</v>
      </c>
      <c r="L41" s="4">
        <v>22</v>
      </c>
      <c r="M41" s="4">
        <v>1</v>
      </c>
      <c r="N41" s="4" t="s">
        <v>3</v>
      </c>
      <c r="O41" s="4">
        <v>2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99</v>
      </c>
      <c r="H42" s="4" t="s">
        <v>100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2302.79</v>
      </c>
      <c r="G43" s="4" t="s">
        <v>101</v>
      </c>
      <c r="H43" s="4" t="s">
        <v>102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f>IF(SourceObSm!F44&lt;&gt;0,1,0)</f>
        <v>1</v>
      </c>
      <c r="C44" s="4">
        <v>0</v>
      </c>
      <c r="D44" s="4">
        <v>1</v>
      </c>
      <c r="E44" s="4">
        <v>210</v>
      </c>
      <c r="F44" s="4">
        <v>16481.37</v>
      </c>
      <c r="G44" s="4" t="s">
        <v>103</v>
      </c>
      <c r="H44" s="4" t="s">
        <v>104</v>
      </c>
      <c r="I44" s="4"/>
      <c r="J44" s="4"/>
      <c r="K44" s="4">
        <v>210</v>
      </c>
      <c r="L44" s="4">
        <v>25</v>
      </c>
      <c r="M44" s="4">
        <v>1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f>IF(SourceObSm!F45&lt;&gt;0,1,0)</f>
        <v>1</v>
      </c>
      <c r="C45" s="4">
        <v>0</v>
      </c>
      <c r="D45" s="4">
        <v>1</v>
      </c>
      <c r="E45" s="4">
        <v>211</v>
      </c>
      <c r="F45" s="4">
        <v>10549.43</v>
      </c>
      <c r="G45" s="4" t="s">
        <v>105</v>
      </c>
      <c r="H45" s="4" t="s">
        <v>106</v>
      </c>
      <c r="I45" s="4"/>
      <c r="J45" s="4"/>
      <c r="K45" s="4">
        <v>211</v>
      </c>
      <c r="L45" s="4">
        <v>26</v>
      </c>
      <c r="M45" s="4">
        <v>1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f>IF(SourceObSm!F46&lt;&gt;0,1,0)</f>
        <v>1</v>
      </c>
      <c r="C46" s="4">
        <v>0</v>
      </c>
      <c r="D46" s="4">
        <v>1</v>
      </c>
      <c r="E46" s="4">
        <v>224</v>
      </c>
      <c r="F46" s="4">
        <v>783332.28</v>
      </c>
      <c r="G46" s="4" t="s">
        <v>107</v>
      </c>
      <c r="H46" s="4" t="s">
        <v>108</v>
      </c>
      <c r="I46" s="4"/>
      <c r="J46" s="4"/>
      <c r="K46" s="4">
        <v>224</v>
      </c>
      <c r="L46" s="4">
        <v>27</v>
      </c>
      <c r="M46" s="4">
        <v>1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783332.28</v>
      </c>
      <c r="G47" s="4" t="s">
        <v>15</v>
      </c>
      <c r="H47" s="4" t="s">
        <v>227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156666.46</v>
      </c>
      <c r="G48" s="4" t="s">
        <v>28</v>
      </c>
      <c r="H48" s="4" t="s">
        <v>228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49" spans="1:40" x14ac:dyDescent="0.2">
      <c r="A49" s="4">
        <v>50</v>
      </c>
      <c r="B49" s="4">
        <v>1</v>
      </c>
      <c r="C49" s="4">
        <v>0</v>
      </c>
      <c r="D49" s="4">
        <v>2</v>
      </c>
      <c r="E49" s="4">
        <v>213</v>
      </c>
      <c r="F49" s="4">
        <v>939998.74</v>
      </c>
      <c r="G49" s="4" t="s">
        <v>33</v>
      </c>
      <c r="H49" s="4" t="s">
        <v>107</v>
      </c>
      <c r="I49" s="4"/>
      <c r="J49" s="4"/>
      <c r="K49" s="4">
        <v>212</v>
      </c>
      <c r="L49" s="4">
        <v>30</v>
      </c>
      <c r="M49" s="4">
        <v>0</v>
      </c>
      <c r="N49" s="4" t="s">
        <v>3</v>
      </c>
      <c r="O49" s="4">
        <v>2</v>
      </c>
      <c r="P49" s="4"/>
    </row>
    <row r="51" spans="1:40" x14ac:dyDescent="0.2">
      <c r="A51">
        <v>-1</v>
      </c>
    </row>
    <row r="54" spans="1:40" x14ac:dyDescent="0.2">
      <c r="A54" s="3">
        <v>75</v>
      </c>
      <c r="B54" s="3" t="s">
        <v>290</v>
      </c>
      <c r="C54" s="3">
        <v>2020</v>
      </c>
      <c r="D54" s="3">
        <v>4</v>
      </c>
      <c r="E54" s="3">
        <v>0</v>
      </c>
      <c r="F54" s="3">
        <v>0</v>
      </c>
      <c r="G54" s="3">
        <v>0</v>
      </c>
      <c r="H54" s="3">
        <v>1</v>
      </c>
      <c r="I54" s="3">
        <v>0</v>
      </c>
      <c r="J54" s="3">
        <v>3</v>
      </c>
      <c r="K54" s="3">
        <v>0</v>
      </c>
      <c r="L54" s="3">
        <v>0</v>
      </c>
      <c r="M54" s="3">
        <v>0</v>
      </c>
      <c r="N54" s="3">
        <v>96554872</v>
      </c>
      <c r="O54" s="3">
        <v>1</v>
      </c>
    </row>
    <row r="55" spans="1:40" x14ac:dyDescent="0.2">
      <c r="A55" s="5">
        <v>3</v>
      </c>
      <c r="B55" s="5" t="s">
        <v>291</v>
      </c>
      <c r="C55" s="5">
        <v>7.73</v>
      </c>
      <c r="D55" s="5">
        <v>1</v>
      </c>
      <c r="E55" s="5">
        <v>1</v>
      </c>
      <c r="F55" s="5">
        <v>1</v>
      </c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7.73</v>
      </c>
      <c r="N55" s="5">
        <v>1</v>
      </c>
      <c r="O55" s="5">
        <v>1</v>
      </c>
      <c r="P55" s="5">
        <v>1</v>
      </c>
      <c r="Q55" s="5">
        <v>1</v>
      </c>
      <c r="R55" s="5">
        <v>1</v>
      </c>
      <c r="S55" s="5" t="s">
        <v>20</v>
      </c>
      <c r="T55" s="5" t="s">
        <v>3</v>
      </c>
      <c r="U55" s="5" t="s">
        <v>3</v>
      </c>
      <c r="V55" s="5" t="s">
        <v>3</v>
      </c>
      <c r="W55" s="5" t="s">
        <v>3</v>
      </c>
      <c r="X55" s="5" t="s">
        <v>3</v>
      </c>
      <c r="Y55" s="5" t="s">
        <v>3</v>
      </c>
      <c r="Z55" s="5" t="s">
        <v>3</v>
      </c>
      <c r="AA55" s="5" t="s">
        <v>3</v>
      </c>
      <c r="AB55" s="5" t="s">
        <v>3</v>
      </c>
      <c r="AC55" s="5" t="s">
        <v>3</v>
      </c>
      <c r="AD55" s="5" t="s">
        <v>3</v>
      </c>
      <c r="AE55" s="5" t="s">
        <v>3</v>
      </c>
      <c r="AF55" s="5" t="s">
        <v>3</v>
      </c>
      <c r="AG55" s="5" t="s">
        <v>3</v>
      </c>
      <c r="AH55" s="5" t="s">
        <v>3</v>
      </c>
      <c r="AI55" s="5"/>
      <c r="AJ55" s="5"/>
      <c r="AK55" s="5"/>
      <c r="AL55" s="5"/>
      <c r="AM55" s="5"/>
      <c r="AN55" s="5">
        <v>96554886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9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ROW(Source!A28)</f>
        <v>28</v>
      </c>
      <c r="B1">
        <v>96554872</v>
      </c>
      <c r="C1">
        <v>96555064</v>
      </c>
      <c r="D1">
        <v>94389405</v>
      </c>
      <c r="E1">
        <v>56</v>
      </c>
      <c r="F1">
        <v>1</v>
      </c>
      <c r="G1">
        <v>1</v>
      </c>
      <c r="H1">
        <v>1</v>
      </c>
      <c r="I1" t="s">
        <v>293</v>
      </c>
      <c r="J1" t="s">
        <v>3</v>
      </c>
      <c r="K1" t="s">
        <v>294</v>
      </c>
      <c r="L1">
        <v>1191</v>
      </c>
      <c r="N1">
        <v>1013</v>
      </c>
      <c r="O1" t="s">
        <v>295</v>
      </c>
      <c r="P1" t="s">
        <v>295</v>
      </c>
      <c r="Q1">
        <v>1</v>
      </c>
      <c r="W1">
        <v>0</v>
      </c>
      <c r="X1">
        <v>-228054128</v>
      </c>
      <c r="Y1">
        <v>94.97</v>
      </c>
      <c r="AA1">
        <v>0</v>
      </c>
      <c r="AB1">
        <v>0</v>
      </c>
      <c r="AC1">
        <v>0</v>
      </c>
      <c r="AD1">
        <v>61.99</v>
      </c>
      <c r="AE1">
        <v>0</v>
      </c>
      <c r="AF1">
        <v>0</v>
      </c>
      <c r="AG1">
        <v>0</v>
      </c>
      <c r="AH1">
        <v>8.02</v>
      </c>
      <c r="AI1">
        <v>1</v>
      </c>
      <c r="AJ1">
        <v>1</v>
      </c>
      <c r="AK1">
        <v>1</v>
      </c>
      <c r="AL1">
        <v>7.73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94.97</v>
      </c>
      <c r="AU1" t="s">
        <v>3</v>
      </c>
      <c r="AV1">
        <v>1</v>
      </c>
      <c r="AW1">
        <v>2</v>
      </c>
      <c r="AX1">
        <v>96555065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1.7094599999999998</v>
      </c>
      <c r="CY1">
        <f>AD1</f>
        <v>61.99</v>
      </c>
      <c r="CZ1">
        <f>AH1</f>
        <v>8.02</v>
      </c>
      <c r="DA1">
        <f>AL1</f>
        <v>7.73</v>
      </c>
      <c r="DB1">
        <f t="shared" ref="DB1:DB28" si="0">ROUND(ROUND(AT1*CZ1,2),2)</f>
        <v>761.66</v>
      </c>
      <c r="DC1">
        <f t="shared" ref="DC1:DC28" si="1">ROUND(ROUND(AT1*AG1,2),2)</f>
        <v>0</v>
      </c>
    </row>
    <row r="2" spans="1:107" x14ac:dyDescent="0.2">
      <c r="A2">
        <f>ROW(Source!A28)</f>
        <v>28</v>
      </c>
      <c r="B2">
        <v>96554872</v>
      </c>
      <c r="C2">
        <v>96555064</v>
      </c>
      <c r="D2">
        <v>94394093</v>
      </c>
      <c r="E2">
        <v>56</v>
      </c>
      <c r="F2">
        <v>1</v>
      </c>
      <c r="G2">
        <v>1</v>
      </c>
      <c r="H2">
        <v>3</v>
      </c>
      <c r="I2" t="s">
        <v>25</v>
      </c>
      <c r="J2" t="s">
        <v>3</v>
      </c>
      <c r="K2" t="s">
        <v>26</v>
      </c>
      <c r="L2">
        <v>1348</v>
      </c>
      <c r="N2">
        <v>1009</v>
      </c>
      <c r="O2" t="s">
        <v>27</v>
      </c>
      <c r="P2" t="s">
        <v>27</v>
      </c>
      <c r="Q2">
        <v>1000</v>
      </c>
      <c r="W2">
        <v>0</v>
      </c>
      <c r="X2">
        <v>2102561428</v>
      </c>
      <c r="Y2">
        <v>3.5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7.73</v>
      </c>
      <c r="AJ2">
        <v>1</v>
      </c>
      <c r="AK2">
        <v>1</v>
      </c>
      <c r="AL2">
        <v>1</v>
      </c>
      <c r="AN2">
        <v>0</v>
      </c>
      <c r="AO2">
        <v>0</v>
      </c>
      <c r="AP2">
        <v>1</v>
      </c>
      <c r="AQ2">
        <v>0</v>
      </c>
      <c r="AR2">
        <v>0</v>
      </c>
      <c r="AS2" t="s">
        <v>3</v>
      </c>
      <c r="AT2">
        <v>3.5</v>
      </c>
      <c r="AU2" t="s">
        <v>3</v>
      </c>
      <c r="AV2">
        <v>0</v>
      </c>
      <c r="AW2">
        <v>2</v>
      </c>
      <c r="AX2">
        <v>96555066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6.3E-2</v>
      </c>
      <c r="CY2">
        <f>AA2</f>
        <v>0</v>
      </c>
      <c r="CZ2">
        <f>AE2</f>
        <v>0</v>
      </c>
      <c r="DA2">
        <f>AI2</f>
        <v>7.73</v>
      </c>
      <c r="DB2">
        <f t="shared" si="0"/>
        <v>0</v>
      </c>
      <c r="DC2">
        <f t="shared" si="1"/>
        <v>0</v>
      </c>
    </row>
    <row r="3" spans="1:107" x14ac:dyDescent="0.2">
      <c r="A3">
        <f>ROW(Source!A30)</f>
        <v>30</v>
      </c>
      <c r="B3">
        <v>96554872</v>
      </c>
      <c r="C3">
        <v>96555068</v>
      </c>
      <c r="D3">
        <v>94389405</v>
      </c>
      <c r="E3">
        <v>56</v>
      </c>
      <c r="F3">
        <v>1</v>
      </c>
      <c r="G3">
        <v>1</v>
      </c>
      <c r="H3">
        <v>1</v>
      </c>
      <c r="I3" t="s">
        <v>293</v>
      </c>
      <c r="J3" t="s">
        <v>3</v>
      </c>
      <c r="K3" t="s">
        <v>294</v>
      </c>
      <c r="L3">
        <v>1191</v>
      </c>
      <c r="N3">
        <v>1013</v>
      </c>
      <c r="O3" t="s">
        <v>295</v>
      </c>
      <c r="P3" t="s">
        <v>295</v>
      </c>
      <c r="Q3">
        <v>1</v>
      </c>
      <c r="W3">
        <v>0</v>
      </c>
      <c r="X3">
        <v>-228054128</v>
      </c>
      <c r="Y3">
        <v>46.11</v>
      </c>
      <c r="AA3">
        <v>0</v>
      </c>
      <c r="AB3">
        <v>0</v>
      </c>
      <c r="AC3">
        <v>0</v>
      </c>
      <c r="AD3">
        <v>61.99</v>
      </c>
      <c r="AE3">
        <v>0</v>
      </c>
      <c r="AF3">
        <v>0</v>
      </c>
      <c r="AG3">
        <v>0</v>
      </c>
      <c r="AH3">
        <v>8.02</v>
      </c>
      <c r="AI3">
        <v>1</v>
      </c>
      <c r="AJ3">
        <v>1</v>
      </c>
      <c r="AK3">
        <v>1</v>
      </c>
      <c r="AL3">
        <v>7.73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46.11</v>
      </c>
      <c r="AU3" t="s">
        <v>3</v>
      </c>
      <c r="AV3">
        <v>1</v>
      </c>
      <c r="AW3">
        <v>2</v>
      </c>
      <c r="AX3">
        <v>96555069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Y3*Source!I30</f>
        <v>30.06372</v>
      </c>
      <c r="CY3">
        <f>AD3</f>
        <v>61.99</v>
      </c>
      <c r="CZ3">
        <f>AH3</f>
        <v>8.02</v>
      </c>
      <c r="DA3">
        <f>AL3</f>
        <v>7.73</v>
      </c>
      <c r="DB3">
        <f t="shared" si="0"/>
        <v>369.8</v>
      </c>
      <c r="DC3">
        <f t="shared" si="1"/>
        <v>0</v>
      </c>
    </row>
    <row r="4" spans="1:107" x14ac:dyDescent="0.2">
      <c r="A4">
        <f>ROW(Source!A30)</f>
        <v>30</v>
      </c>
      <c r="B4">
        <v>96554872</v>
      </c>
      <c r="C4">
        <v>96555068</v>
      </c>
      <c r="D4">
        <v>94389608</v>
      </c>
      <c r="E4">
        <v>56</v>
      </c>
      <c r="F4">
        <v>1</v>
      </c>
      <c r="G4">
        <v>1</v>
      </c>
      <c r="H4">
        <v>1</v>
      </c>
      <c r="I4" t="s">
        <v>296</v>
      </c>
      <c r="J4" t="s">
        <v>3</v>
      </c>
      <c r="K4" t="s">
        <v>297</v>
      </c>
      <c r="L4">
        <v>1191</v>
      </c>
      <c r="N4">
        <v>1013</v>
      </c>
      <c r="O4" t="s">
        <v>295</v>
      </c>
      <c r="P4" t="s">
        <v>295</v>
      </c>
      <c r="Q4">
        <v>1</v>
      </c>
      <c r="W4">
        <v>0</v>
      </c>
      <c r="X4">
        <v>-1417349443</v>
      </c>
      <c r="Y4">
        <v>0.93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1</v>
      </c>
      <c r="AK4">
        <v>7.73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0.93</v>
      </c>
      <c r="AU4" t="s">
        <v>3</v>
      </c>
      <c r="AV4">
        <v>2</v>
      </c>
      <c r="AW4">
        <v>2</v>
      </c>
      <c r="AX4">
        <v>96555070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Y4*Source!I30</f>
        <v>0.60636000000000001</v>
      </c>
      <c r="CY4">
        <f>AD4</f>
        <v>0</v>
      </c>
      <c r="CZ4">
        <f>AH4</f>
        <v>0</v>
      </c>
      <c r="DA4">
        <f>AL4</f>
        <v>1</v>
      </c>
      <c r="DB4">
        <f t="shared" si="0"/>
        <v>0</v>
      </c>
      <c r="DC4">
        <f t="shared" si="1"/>
        <v>0</v>
      </c>
    </row>
    <row r="5" spans="1:107" x14ac:dyDescent="0.2">
      <c r="A5">
        <f>ROW(Source!A30)</f>
        <v>30</v>
      </c>
      <c r="B5">
        <v>96554872</v>
      </c>
      <c r="C5">
        <v>96555068</v>
      </c>
      <c r="D5">
        <v>94550530</v>
      </c>
      <c r="E5">
        <v>1</v>
      </c>
      <c r="F5">
        <v>1</v>
      </c>
      <c r="G5">
        <v>1</v>
      </c>
      <c r="H5">
        <v>2</v>
      </c>
      <c r="I5" t="s">
        <v>298</v>
      </c>
      <c r="J5" t="s">
        <v>299</v>
      </c>
      <c r="K5" t="s">
        <v>300</v>
      </c>
      <c r="L5">
        <v>1368</v>
      </c>
      <c r="N5">
        <v>1011</v>
      </c>
      <c r="O5" t="s">
        <v>301</v>
      </c>
      <c r="P5" t="s">
        <v>301</v>
      </c>
      <c r="Q5">
        <v>1</v>
      </c>
      <c r="W5">
        <v>0</v>
      </c>
      <c r="X5">
        <v>10009565</v>
      </c>
      <c r="Y5">
        <v>0.93</v>
      </c>
      <c r="AA5">
        <v>0</v>
      </c>
      <c r="AB5">
        <v>241.64</v>
      </c>
      <c r="AC5">
        <v>13.5</v>
      </c>
      <c r="AD5">
        <v>0</v>
      </c>
      <c r="AE5">
        <v>0</v>
      </c>
      <c r="AF5">
        <v>31.26</v>
      </c>
      <c r="AG5">
        <v>13.5</v>
      </c>
      <c r="AH5">
        <v>0</v>
      </c>
      <c r="AI5">
        <v>1</v>
      </c>
      <c r="AJ5">
        <v>7.73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0.93</v>
      </c>
      <c r="AU5" t="s">
        <v>3</v>
      </c>
      <c r="AV5">
        <v>0</v>
      </c>
      <c r="AW5">
        <v>2</v>
      </c>
      <c r="AX5">
        <v>96555071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Y5*Source!I30</f>
        <v>0.60636000000000001</v>
      </c>
      <c r="CY5">
        <f>AB5</f>
        <v>241.64</v>
      </c>
      <c r="CZ5">
        <f>AF5</f>
        <v>31.26</v>
      </c>
      <c r="DA5">
        <f>AJ5</f>
        <v>7.73</v>
      </c>
      <c r="DB5">
        <f t="shared" si="0"/>
        <v>29.07</v>
      </c>
      <c r="DC5">
        <f t="shared" si="1"/>
        <v>12.56</v>
      </c>
    </row>
    <row r="6" spans="1:107" x14ac:dyDescent="0.2">
      <c r="A6">
        <f>ROW(Source!A30)</f>
        <v>30</v>
      </c>
      <c r="B6">
        <v>96554872</v>
      </c>
      <c r="C6">
        <v>96555068</v>
      </c>
      <c r="D6">
        <v>94394093</v>
      </c>
      <c r="E6">
        <v>56</v>
      </c>
      <c r="F6">
        <v>1</v>
      </c>
      <c r="G6">
        <v>1</v>
      </c>
      <c r="H6">
        <v>3</v>
      </c>
      <c r="I6" t="s">
        <v>25</v>
      </c>
      <c r="J6" t="s">
        <v>3</v>
      </c>
      <c r="K6" t="s">
        <v>26</v>
      </c>
      <c r="L6">
        <v>1348</v>
      </c>
      <c r="N6">
        <v>1009</v>
      </c>
      <c r="O6" t="s">
        <v>27</v>
      </c>
      <c r="P6" t="s">
        <v>27</v>
      </c>
      <c r="Q6">
        <v>1000</v>
      </c>
      <c r="W6">
        <v>0</v>
      </c>
      <c r="X6">
        <v>2102561428</v>
      </c>
      <c r="Y6">
        <v>3.42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7.73</v>
      </c>
      <c r="AJ6">
        <v>1</v>
      </c>
      <c r="AK6">
        <v>1</v>
      </c>
      <c r="AL6">
        <v>1</v>
      </c>
      <c r="AN6">
        <v>0</v>
      </c>
      <c r="AO6">
        <v>0</v>
      </c>
      <c r="AP6">
        <v>1</v>
      </c>
      <c r="AQ6">
        <v>0</v>
      </c>
      <c r="AR6">
        <v>0</v>
      </c>
      <c r="AS6" t="s">
        <v>3</v>
      </c>
      <c r="AT6">
        <v>3.42</v>
      </c>
      <c r="AU6" t="s">
        <v>3</v>
      </c>
      <c r="AV6">
        <v>0</v>
      </c>
      <c r="AW6">
        <v>2</v>
      </c>
      <c r="AX6">
        <v>96555072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Y6*Source!I30</f>
        <v>2.2298399999999998</v>
      </c>
      <c r="CY6">
        <f>AA6</f>
        <v>0</v>
      </c>
      <c r="CZ6">
        <f>AE6</f>
        <v>0</v>
      </c>
      <c r="DA6">
        <f>AI6</f>
        <v>7.73</v>
      </c>
      <c r="DB6">
        <f t="shared" si="0"/>
        <v>0</v>
      </c>
      <c r="DC6">
        <f t="shared" si="1"/>
        <v>0</v>
      </c>
    </row>
    <row r="7" spans="1:107" x14ac:dyDescent="0.2">
      <c r="A7">
        <f>ROW(Source!A32)</f>
        <v>32</v>
      </c>
      <c r="B7">
        <v>96554872</v>
      </c>
      <c r="C7">
        <v>96555074</v>
      </c>
      <c r="D7">
        <v>94389409</v>
      </c>
      <c r="E7">
        <v>56</v>
      </c>
      <c r="F7">
        <v>1</v>
      </c>
      <c r="G7">
        <v>1</v>
      </c>
      <c r="H7">
        <v>1</v>
      </c>
      <c r="I7" t="s">
        <v>302</v>
      </c>
      <c r="J7" t="s">
        <v>3</v>
      </c>
      <c r="K7" t="s">
        <v>303</v>
      </c>
      <c r="L7">
        <v>1191</v>
      </c>
      <c r="N7">
        <v>1013</v>
      </c>
      <c r="O7" t="s">
        <v>295</v>
      </c>
      <c r="P7" t="s">
        <v>295</v>
      </c>
      <c r="Q7">
        <v>1</v>
      </c>
      <c r="W7">
        <v>0</v>
      </c>
      <c r="X7">
        <v>-509590494</v>
      </c>
      <c r="Y7">
        <v>128.72999999999999</v>
      </c>
      <c r="AA7">
        <v>0</v>
      </c>
      <c r="AB7">
        <v>0</v>
      </c>
      <c r="AC7">
        <v>0</v>
      </c>
      <c r="AD7">
        <v>63.15</v>
      </c>
      <c r="AE7">
        <v>0</v>
      </c>
      <c r="AF7">
        <v>0</v>
      </c>
      <c r="AG7">
        <v>0</v>
      </c>
      <c r="AH7">
        <v>8.17</v>
      </c>
      <c r="AI7">
        <v>1</v>
      </c>
      <c r="AJ7">
        <v>1</v>
      </c>
      <c r="AK7">
        <v>1</v>
      </c>
      <c r="AL7">
        <v>7.73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128.72999999999999</v>
      </c>
      <c r="AU7" t="s">
        <v>3</v>
      </c>
      <c r="AV7">
        <v>1</v>
      </c>
      <c r="AW7">
        <v>2</v>
      </c>
      <c r="AX7">
        <v>96555075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Y7*Source!I32</f>
        <v>16.7349</v>
      </c>
      <c r="CY7">
        <f>AD7</f>
        <v>63.15</v>
      </c>
      <c r="CZ7">
        <f>AH7</f>
        <v>8.17</v>
      </c>
      <c r="DA7">
        <f>AL7</f>
        <v>7.73</v>
      </c>
      <c r="DB7">
        <f t="shared" si="0"/>
        <v>1051.72</v>
      </c>
      <c r="DC7">
        <f t="shared" si="1"/>
        <v>0</v>
      </c>
    </row>
    <row r="8" spans="1:107" x14ac:dyDescent="0.2">
      <c r="A8">
        <f>ROW(Source!A32)</f>
        <v>32</v>
      </c>
      <c r="B8">
        <v>96554872</v>
      </c>
      <c r="C8">
        <v>96555074</v>
      </c>
      <c r="D8">
        <v>94389608</v>
      </c>
      <c r="E8">
        <v>56</v>
      </c>
      <c r="F8">
        <v>1</v>
      </c>
      <c r="G8">
        <v>1</v>
      </c>
      <c r="H8">
        <v>1</v>
      </c>
      <c r="I8" t="s">
        <v>296</v>
      </c>
      <c r="J8" t="s">
        <v>3</v>
      </c>
      <c r="K8" t="s">
        <v>297</v>
      </c>
      <c r="L8">
        <v>1191</v>
      </c>
      <c r="N8">
        <v>1013</v>
      </c>
      <c r="O8" t="s">
        <v>295</v>
      </c>
      <c r="P8" t="s">
        <v>295</v>
      </c>
      <c r="Q8">
        <v>1</v>
      </c>
      <c r="W8">
        <v>0</v>
      </c>
      <c r="X8">
        <v>-1417349443</v>
      </c>
      <c r="Y8">
        <v>0.7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</v>
      </c>
      <c r="AJ8">
        <v>1</v>
      </c>
      <c r="AK8">
        <v>7.73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0.7</v>
      </c>
      <c r="AU8" t="s">
        <v>3</v>
      </c>
      <c r="AV8">
        <v>2</v>
      </c>
      <c r="AW8">
        <v>2</v>
      </c>
      <c r="AX8">
        <v>96555076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Y8*Source!I32</f>
        <v>9.0999999999999998E-2</v>
      </c>
      <c r="CY8">
        <f>AD8</f>
        <v>0</v>
      </c>
      <c r="CZ8">
        <f>AH8</f>
        <v>0</v>
      </c>
      <c r="DA8">
        <f>AL8</f>
        <v>1</v>
      </c>
      <c r="DB8">
        <f t="shared" si="0"/>
        <v>0</v>
      </c>
      <c r="DC8">
        <f t="shared" si="1"/>
        <v>0</v>
      </c>
    </row>
    <row r="9" spans="1:107" x14ac:dyDescent="0.2">
      <c r="A9">
        <f>ROW(Source!A32)</f>
        <v>32</v>
      </c>
      <c r="B9">
        <v>96554872</v>
      </c>
      <c r="C9">
        <v>96555074</v>
      </c>
      <c r="D9">
        <v>94550530</v>
      </c>
      <c r="E9">
        <v>1</v>
      </c>
      <c r="F9">
        <v>1</v>
      </c>
      <c r="G9">
        <v>1</v>
      </c>
      <c r="H9">
        <v>2</v>
      </c>
      <c r="I9" t="s">
        <v>298</v>
      </c>
      <c r="J9" t="s">
        <v>299</v>
      </c>
      <c r="K9" t="s">
        <v>300</v>
      </c>
      <c r="L9">
        <v>1368</v>
      </c>
      <c r="N9">
        <v>1011</v>
      </c>
      <c r="O9" t="s">
        <v>301</v>
      </c>
      <c r="P9" t="s">
        <v>301</v>
      </c>
      <c r="Q9">
        <v>1</v>
      </c>
      <c r="W9">
        <v>0</v>
      </c>
      <c r="X9">
        <v>10009565</v>
      </c>
      <c r="Y9">
        <v>0.7</v>
      </c>
      <c r="AA9">
        <v>0</v>
      </c>
      <c r="AB9">
        <v>241.64</v>
      </c>
      <c r="AC9">
        <v>13.5</v>
      </c>
      <c r="AD9">
        <v>0</v>
      </c>
      <c r="AE9">
        <v>0</v>
      </c>
      <c r="AF9">
        <v>31.26</v>
      </c>
      <c r="AG9">
        <v>13.5</v>
      </c>
      <c r="AH9">
        <v>0</v>
      </c>
      <c r="AI9">
        <v>1</v>
      </c>
      <c r="AJ9">
        <v>7.73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0.7</v>
      </c>
      <c r="AU9" t="s">
        <v>3</v>
      </c>
      <c r="AV9">
        <v>0</v>
      </c>
      <c r="AW9">
        <v>2</v>
      </c>
      <c r="AX9">
        <v>96555077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Y9*Source!I32</f>
        <v>9.0999999999999998E-2</v>
      </c>
      <c r="CY9">
        <f>AB9</f>
        <v>241.64</v>
      </c>
      <c r="CZ9">
        <f>AF9</f>
        <v>31.26</v>
      </c>
      <c r="DA9">
        <f>AJ9</f>
        <v>7.73</v>
      </c>
      <c r="DB9">
        <f t="shared" si="0"/>
        <v>21.88</v>
      </c>
      <c r="DC9">
        <f t="shared" si="1"/>
        <v>9.4499999999999993</v>
      </c>
    </row>
    <row r="10" spans="1:107" x14ac:dyDescent="0.2">
      <c r="A10">
        <f>ROW(Source!A32)</f>
        <v>32</v>
      </c>
      <c r="B10">
        <v>96554872</v>
      </c>
      <c r="C10">
        <v>96555074</v>
      </c>
      <c r="D10">
        <v>94551495</v>
      </c>
      <c r="E10">
        <v>1</v>
      </c>
      <c r="F10">
        <v>1</v>
      </c>
      <c r="G10">
        <v>1</v>
      </c>
      <c r="H10">
        <v>2</v>
      </c>
      <c r="I10" t="s">
        <v>304</v>
      </c>
      <c r="J10" t="s">
        <v>305</v>
      </c>
      <c r="K10" t="s">
        <v>306</v>
      </c>
      <c r="L10">
        <v>1368</v>
      </c>
      <c r="N10">
        <v>1011</v>
      </c>
      <c r="O10" t="s">
        <v>301</v>
      </c>
      <c r="P10" t="s">
        <v>301</v>
      </c>
      <c r="Q10">
        <v>1</v>
      </c>
      <c r="W10">
        <v>0</v>
      </c>
      <c r="X10">
        <v>1975152863</v>
      </c>
      <c r="Y10">
        <v>1.45</v>
      </c>
      <c r="AA10">
        <v>0</v>
      </c>
      <c r="AB10">
        <v>377.3</v>
      </c>
      <c r="AC10">
        <v>0</v>
      </c>
      <c r="AD10">
        <v>0</v>
      </c>
      <c r="AE10">
        <v>0</v>
      </c>
      <c r="AF10">
        <v>48.81</v>
      </c>
      <c r="AG10">
        <v>0</v>
      </c>
      <c r="AH10">
        <v>0</v>
      </c>
      <c r="AI10">
        <v>1</v>
      </c>
      <c r="AJ10">
        <v>7.73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1.45</v>
      </c>
      <c r="AU10" t="s">
        <v>3</v>
      </c>
      <c r="AV10">
        <v>0</v>
      </c>
      <c r="AW10">
        <v>2</v>
      </c>
      <c r="AX10">
        <v>96555078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Y10*Source!I32</f>
        <v>0.1885</v>
      </c>
      <c r="CY10">
        <f>AB10</f>
        <v>377.3</v>
      </c>
      <c r="CZ10">
        <f>AF10</f>
        <v>48.81</v>
      </c>
      <c r="DA10">
        <f>AJ10</f>
        <v>7.73</v>
      </c>
      <c r="DB10">
        <f t="shared" si="0"/>
        <v>70.77</v>
      </c>
      <c r="DC10">
        <f t="shared" si="1"/>
        <v>0</v>
      </c>
    </row>
    <row r="11" spans="1:107" x14ac:dyDescent="0.2">
      <c r="A11">
        <f>ROW(Source!A32)</f>
        <v>32</v>
      </c>
      <c r="B11">
        <v>96554872</v>
      </c>
      <c r="C11">
        <v>96555074</v>
      </c>
      <c r="D11">
        <v>94551947</v>
      </c>
      <c r="E11">
        <v>1</v>
      </c>
      <c r="F11">
        <v>1</v>
      </c>
      <c r="G11">
        <v>1</v>
      </c>
      <c r="H11">
        <v>2</v>
      </c>
      <c r="I11" t="s">
        <v>307</v>
      </c>
      <c r="J11" t="s">
        <v>308</v>
      </c>
      <c r="K11" t="s">
        <v>309</v>
      </c>
      <c r="L11">
        <v>1368</v>
      </c>
      <c r="N11">
        <v>1011</v>
      </c>
      <c r="O11" t="s">
        <v>301</v>
      </c>
      <c r="P11" t="s">
        <v>301</v>
      </c>
      <c r="Q11">
        <v>1</v>
      </c>
      <c r="W11">
        <v>0</v>
      </c>
      <c r="X11">
        <v>1943608298</v>
      </c>
      <c r="Y11">
        <v>2.89</v>
      </c>
      <c r="AA11">
        <v>0</v>
      </c>
      <c r="AB11">
        <v>11.83</v>
      </c>
      <c r="AC11">
        <v>0</v>
      </c>
      <c r="AD11">
        <v>0</v>
      </c>
      <c r="AE11">
        <v>0</v>
      </c>
      <c r="AF11">
        <v>1.53</v>
      </c>
      <c r="AG11">
        <v>0</v>
      </c>
      <c r="AH11">
        <v>0</v>
      </c>
      <c r="AI11">
        <v>1</v>
      </c>
      <c r="AJ11">
        <v>7.73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2.89</v>
      </c>
      <c r="AU11" t="s">
        <v>3</v>
      </c>
      <c r="AV11">
        <v>0</v>
      </c>
      <c r="AW11">
        <v>2</v>
      </c>
      <c r="AX11">
        <v>96555079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Y11*Source!I32</f>
        <v>0.37570000000000003</v>
      </c>
      <c r="CY11">
        <f>AB11</f>
        <v>11.83</v>
      </c>
      <c r="CZ11">
        <f>AF11</f>
        <v>1.53</v>
      </c>
      <c r="DA11">
        <f>AJ11</f>
        <v>7.73</v>
      </c>
      <c r="DB11">
        <f t="shared" si="0"/>
        <v>4.42</v>
      </c>
      <c r="DC11">
        <f t="shared" si="1"/>
        <v>0</v>
      </c>
    </row>
    <row r="12" spans="1:107" x14ac:dyDescent="0.2">
      <c r="A12">
        <f>ROW(Source!A32)</f>
        <v>32</v>
      </c>
      <c r="B12">
        <v>96554872</v>
      </c>
      <c r="C12">
        <v>96555074</v>
      </c>
      <c r="D12">
        <v>94394093</v>
      </c>
      <c r="E12">
        <v>56</v>
      </c>
      <c r="F12">
        <v>1</v>
      </c>
      <c r="G12">
        <v>1</v>
      </c>
      <c r="H12">
        <v>3</v>
      </c>
      <c r="I12" t="s">
        <v>25</v>
      </c>
      <c r="J12" t="s">
        <v>3</v>
      </c>
      <c r="K12" t="s">
        <v>26</v>
      </c>
      <c r="L12">
        <v>1348</v>
      </c>
      <c r="N12">
        <v>1009</v>
      </c>
      <c r="O12" t="s">
        <v>27</v>
      </c>
      <c r="P12" t="s">
        <v>27</v>
      </c>
      <c r="Q12">
        <v>1000</v>
      </c>
      <c r="W12">
        <v>0</v>
      </c>
      <c r="X12">
        <v>2102561428</v>
      </c>
      <c r="Y12">
        <v>10.66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7.73</v>
      </c>
      <c r="AJ12">
        <v>1</v>
      </c>
      <c r="AK12">
        <v>1</v>
      </c>
      <c r="AL12">
        <v>1</v>
      </c>
      <c r="AN12">
        <v>0</v>
      </c>
      <c r="AO12">
        <v>0</v>
      </c>
      <c r="AP12">
        <v>1</v>
      </c>
      <c r="AQ12">
        <v>0</v>
      </c>
      <c r="AR12">
        <v>0</v>
      </c>
      <c r="AS12" t="s">
        <v>3</v>
      </c>
      <c r="AT12">
        <v>10.66</v>
      </c>
      <c r="AU12" t="s">
        <v>3</v>
      </c>
      <c r="AV12">
        <v>0</v>
      </c>
      <c r="AW12">
        <v>2</v>
      </c>
      <c r="AX12">
        <v>96555080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Y12*Source!I32</f>
        <v>1.3858000000000001</v>
      </c>
      <c r="CY12">
        <f>AA12</f>
        <v>0</v>
      </c>
      <c r="CZ12">
        <f>AE12</f>
        <v>0</v>
      </c>
      <c r="DA12">
        <f>AI12</f>
        <v>7.73</v>
      </c>
      <c r="DB12">
        <f t="shared" si="0"/>
        <v>0</v>
      </c>
      <c r="DC12">
        <f t="shared" si="1"/>
        <v>0</v>
      </c>
    </row>
    <row r="13" spans="1:107" x14ac:dyDescent="0.2">
      <c r="A13">
        <f>ROW(Source!A34)</f>
        <v>34</v>
      </c>
      <c r="B13">
        <v>96554872</v>
      </c>
      <c r="C13">
        <v>96555095</v>
      </c>
      <c r="D13">
        <v>94389401</v>
      </c>
      <c r="E13">
        <v>56</v>
      </c>
      <c r="F13">
        <v>1</v>
      </c>
      <c r="G13">
        <v>1</v>
      </c>
      <c r="H13">
        <v>1</v>
      </c>
      <c r="I13" t="s">
        <v>310</v>
      </c>
      <c r="J13" t="s">
        <v>3</v>
      </c>
      <c r="K13" t="s">
        <v>311</v>
      </c>
      <c r="L13">
        <v>1191</v>
      </c>
      <c r="N13">
        <v>1013</v>
      </c>
      <c r="O13" t="s">
        <v>295</v>
      </c>
      <c r="P13" t="s">
        <v>295</v>
      </c>
      <c r="Q13">
        <v>1</v>
      </c>
      <c r="W13">
        <v>0</v>
      </c>
      <c r="X13">
        <v>-1366118074</v>
      </c>
      <c r="Y13">
        <v>4.21</v>
      </c>
      <c r="AA13">
        <v>0</v>
      </c>
      <c r="AB13">
        <v>0</v>
      </c>
      <c r="AC13">
        <v>0</v>
      </c>
      <c r="AD13">
        <v>61.38</v>
      </c>
      <c r="AE13">
        <v>0</v>
      </c>
      <c r="AF13">
        <v>0</v>
      </c>
      <c r="AG13">
        <v>0</v>
      </c>
      <c r="AH13">
        <v>7.94</v>
      </c>
      <c r="AI13">
        <v>1</v>
      </c>
      <c r="AJ13">
        <v>1</v>
      </c>
      <c r="AK13">
        <v>1</v>
      </c>
      <c r="AL13">
        <v>7.73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4.21</v>
      </c>
      <c r="AU13" t="s">
        <v>3</v>
      </c>
      <c r="AV13">
        <v>1</v>
      </c>
      <c r="AW13">
        <v>2</v>
      </c>
      <c r="AX13">
        <v>96555096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Y13*Source!I34</f>
        <v>1.2629999999999999</v>
      </c>
      <c r="CY13">
        <f>AD13</f>
        <v>61.38</v>
      </c>
      <c r="CZ13">
        <f>AH13</f>
        <v>7.94</v>
      </c>
      <c r="DA13">
        <f>AL13</f>
        <v>7.73</v>
      </c>
      <c r="DB13">
        <f t="shared" si="0"/>
        <v>33.43</v>
      </c>
      <c r="DC13">
        <f t="shared" si="1"/>
        <v>0</v>
      </c>
    </row>
    <row r="14" spans="1:107" x14ac:dyDescent="0.2">
      <c r="A14">
        <f>ROW(Source!A34)</f>
        <v>34</v>
      </c>
      <c r="B14">
        <v>96554872</v>
      </c>
      <c r="C14">
        <v>96555095</v>
      </c>
      <c r="D14">
        <v>94394093</v>
      </c>
      <c r="E14">
        <v>56</v>
      </c>
      <c r="F14">
        <v>1</v>
      </c>
      <c r="G14">
        <v>1</v>
      </c>
      <c r="H14">
        <v>3</v>
      </c>
      <c r="I14" t="s">
        <v>25</v>
      </c>
      <c r="J14" t="s">
        <v>3</v>
      </c>
      <c r="K14" t="s">
        <v>26</v>
      </c>
      <c r="L14">
        <v>1348</v>
      </c>
      <c r="N14">
        <v>1009</v>
      </c>
      <c r="O14" t="s">
        <v>27</v>
      </c>
      <c r="P14" t="s">
        <v>27</v>
      </c>
      <c r="Q14">
        <v>1000</v>
      </c>
      <c r="W14">
        <v>0</v>
      </c>
      <c r="X14">
        <v>2102561428</v>
      </c>
      <c r="Y14">
        <v>0.4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7.73</v>
      </c>
      <c r="AJ14">
        <v>1</v>
      </c>
      <c r="AK14">
        <v>1</v>
      </c>
      <c r="AL14">
        <v>1</v>
      </c>
      <c r="AN14">
        <v>0</v>
      </c>
      <c r="AO14">
        <v>0</v>
      </c>
      <c r="AP14">
        <v>1</v>
      </c>
      <c r="AQ14">
        <v>0</v>
      </c>
      <c r="AR14">
        <v>0</v>
      </c>
      <c r="AS14" t="s">
        <v>3</v>
      </c>
      <c r="AT14">
        <v>0.4</v>
      </c>
      <c r="AU14" t="s">
        <v>3</v>
      </c>
      <c r="AV14">
        <v>0</v>
      </c>
      <c r="AW14">
        <v>2</v>
      </c>
      <c r="AX14">
        <v>96555097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Y14*Source!I34</f>
        <v>0.12</v>
      </c>
      <c r="CY14">
        <f>AA14</f>
        <v>0</v>
      </c>
      <c r="CZ14">
        <f>AE14</f>
        <v>0</v>
      </c>
      <c r="DA14">
        <f>AI14</f>
        <v>7.73</v>
      </c>
      <c r="DB14">
        <f t="shared" si="0"/>
        <v>0</v>
      </c>
      <c r="DC14">
        <f t="shared" si="1"/>
        <v>0</v>
      </c>
    </row>
    <row r="15" spans="1:107" x14ac:dyDescent="0.2">
      <c r="A15">
        <f>ROW(Source!A36)</f>
        <v>36</v>
      </c>
      <c r="B15">
        <v>96554872</v>
      </c>
      <c r="C15">
        <v>96555099</v>
      </c>
      <c r="D15">
        <v>94389401</v>
      </c>
      <c r="E15">
        <v>56</v>
      </c>
      <c r="F15">
        <v>1</v>
      </c>
      <c r="G15">
        <v>1</v>
      </c>
      <c r="H15">
        <v>1</v>
      </c>
      <c r="I15" t="s">
        <v>310</v>
      </c>
      <c r="J15" t="s">
        <v>3</v>
      </c>
      <c r="K15" t="s">
        <v>311</v>
      </c>
      <c r="L15">
        <v>1191</v>
      </c>
      <c r="N15">
        <v>1013</v>
      </c>
      <c r="O15" t="s">
        <v>295</v>
      </c>
      <c r="P15" t="s">
        <v>295</v>
      </c>
      <c r="Q15">
        <v>1</v>
      </c>
      <c r="W15">
        <v>0</v>
      </c>
      <c r="X15">
        <v>-1366118074</v>
      </c>
      <c r="Y15">
        <v>36.28</v>
      </c>
      <c r="AA15">
        <v>0</v>
      </c>
      <c r="AB15">
        <v>0</v>
      </c>
      <c r="AC15">
        <v>0</v>
      </c>
      <c r="AD15">
        <v>61.38</v>
      </c>
      <c r="AE15">
        <v>0</v>
      </c>
      <c r="AF15">
        <v>0</v>
      </c>
      <c r="AG15">
        <v>0</v>
      </c>
      <c r="AH15">
        <v>7.94</v>
      </c>
      <c r="AI15">
        <v>1</v>
      </c>
      <c r="AJ15">
        <v>1</v>
      </c>
      <c r="AK15">
        <v>1</v>
      </c>
      <c r="AL15">
        <v>7.73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36.28</v>
      </c>
      <c r="AU15" t="s">
        <v>3</v>
      </c>
      <c r="AV15">
        <v>1</v>
      </c>
      <c r="AW15">
        <v>2</v>
      </c>
      <c r="AX15">
        <v>96555100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Y15*Source!I36</f>
        <v>7.7276400000000001</v>
      </c>
      <c r="CY15">
        <f>AD15</f>
        <v>61.38</v>
      </c>
      <c r="CZ15">
        <f>AH15</f>
        <v>7.94</v>
      </c>
      <c r="DA15">
        <f>AL15</f>
        <v>7.73</v>
      </c>
      <c r="DB15">
        <f t="shared" si="0"/>
        <v>288.06</v>
      </c>
      <c r="DC15">
        <f t="shared" si="1"/>
        <v>0</v>
      </c>
    </row>
    <row r="16" spans="1:107" x14ac:dyDescent="0.2">
      <c r="A16">
        <f>ROW(Source!A36)</f>
        <v>36</v>
      </c>
      <c r="B16">
        <v>96554872</v>
      </c>
      <c r="C16">
        <v>96555099</v>
      </c>
      <c r="D16">
        <v>94394093</v>
      </c>
      <c r="E16">
        <v>56</v>
      </c>
      <c r="F16">
        <v>1</v>
      </c>
      <c r="G16">
        <v>1</v>
      </c>
      <c r="H16">
        <v>3</v>
      </c>
      <c r="I16" t="s">
        <v>25</v>
      </c>
      <c r="J16" t="s">
        <v>3</v>
      </c>
      <c r="K16" t="s">
        <v>26</v>
      </c>
      <c r="L16">
        <v>1348</v>
      </c>
      <c r="N16">
        <v>1009</v>
      </c>
      <c r="O16" t="s">
        <v>27</v>
      </c>
      <c r="P16" t="s">
        <v>27</v>
      </c>
      <c r="Q16">
        <v>1000</v>
      </c>
      <c r="W16">
        <v>0</v>
      </c>
      <c r="X16">
        <v>2102561428</v>
      </c>
      <c r="Y16">
        <v>1.18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7.73</v>
      </c>
      <c r="AJ16">
        <v>1</v>
      </c>
      <c r="AK16">
        <v>1</v>
      </c>
      <c r="AL16">
        <v>1</v>
      </c>
      <c r="AN16">
        <v>0</v>
      </c>
      <c r="AO16">
        <v>0</v>
      </c>
      <c r="AP16">
        <v>1</v>
      </c>
      <c r="AQ16">
        <v>0</v>
      </c>
      <c r="AR16">
        <v>0</v>
      </c>
      <c r="AS16" t="s">
        <v>3</v>
      </c>
      <c r="AT16">
        <v>1.18</v>
      </c>
      <c r="AU16" t="s">
        <v>3</v>
      </c>
      <c r="AV16">
        <v>0</v>
      </c>
      <c r="AW16">
        <v>2</v>
      </c>
      <c r="AX16">
        <v>96555101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Y16*Source!I36</f>
        <v>0.25134000000000001</v>
      </c>
      <c r="CY16">
        <f>AA16</f>
        <v>0</v>
      </c>
      <c r="CZ16">
        <f>AE16</f>
        <v>0</v>
      </c>
      <c r="DA16">
        <f>AI16</f>
        <v>7.73</v>
      </c>
      <c r="DB16">
        <f t="shared" si="0"/>
        <v>0</v>
      </c>
      <c r="DC16">
        <f t="shared" si="1"/>
        <v>0</v>
      </c>
    </row>
    <row r="17" spans="1:107" x14ac:dyDescent="0.2">
      <c r="A17">
        <f>ROW(Source!A38)</f>
        <v>38</v>
      </c>
      <c r="B17">
        <v>96554872</v>
      </c>
      <c r="C17">
        <v>96555103</v>
      </c>
      <c r="D17">
        <v>94389405</v>
      </c>
      <c r="E17">
        <v>56</v>
      </c>
      <c r="F17">
        <v>1</v>
      </c>
      <c r="G17">
        <v>1</v>
      </c>
      <c r="H17">
        <v>1</v>
      </c>
      <c r="I17" t="s">
        <v>293</v>
      </c>
      <c r="J17" t="s">
        <v>3</v>
      </c>
      <c r="K17" t="s">
        <v>294</v>
      </c>
      <c r="L17">
        <v>1191</v>
      </c>
      <c r="N17">
        <v>1013</v>
      </c>
      <c r="O17" t="s">
        <v>295</v>
      </c>
      <c r="P17" t="s">
        <v>295</v>
      </c>
      <c r="Q17">
        <v>1</v>
      </c>
      <c r="W17">
        <v>0</v>
      </c>
      <c r="X17">
        <v>-228054128</v>
      </c>
      <c r="Y17">
        <v>179.3</v>
      </c>
      <c r="AA17">
        <v>0</v>
      </c>
      <c r="AB17">
        <v>0</v>
      </c>
      <c r="AC17">
        <v>0</v>
      </c>
      <c r="AD17">
        <v>61.99</v>
      </c>
      <c r="AE17">
        <v>0</v>
      </c>
      <c r="AF17">
        <v>0</v>
      </c>
      <c r="AG17">
        <v>0</v>
      </c>
      <c r="AH17">
        <v>8.02</v>
      </c>
      <c r="AI17">
        <v>1</v>
      </c>
      <c r="AJ17">
        <v>1</v>
      </c>
      <c r="AK17">
        <v>1</v>
      </c>
      <c r="AL17">
        <v>7.73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179.3</v>
      </c>
      <c r="AU17" t="s">
        <v>3</v>
      </c>
      <c r="AV17">
        <v>1</v>
      </c>
      <c r="AW17">
        <v>2</v>
      </c>
      <c r="AX17">
        <v>96555104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Y17*Source!I38</f>
        <v>5.3790000000000004</v>
      </c>
      <c r="CY17">
        <f>AD17</f>
        <v>61.99</v>
      </c>
      <c r="CZ17">
        <f>AH17</f>
        <v>8.02</v>
      </c>
      <c r="DA17">
        <f>AL17</f>
        <v>7.73</v>
      </c>
      <c r="DB17">
        <f t="shared" si="0"/>
        <v>1437.99</v>
      </c>
      <c r="DC17">
        <f t="shared" si="1"/>
        <v>0</v>
      </c>
    </row>
    <row r="18" spans="1:107" x14ac:dyDescent="0.2">
      <c r="A18">
        <f>ROW(Source!A38)</f>
        <v>38</v>
      </c>
      <c r="B18">
        <v>96554872</v>
      </c>
      <c r="C18">
        <v>96555103</v>
      </c>
      <c r="D18">
        <v>94551495</v>
      </c>
      <c r="E18">
        <v>1</v>
      </c>
      <c r="F18">
        <v>1</v>
      </c>
      <c r="G18">
        <v>1</v>
      </c>
      <c r="H18">
        <v>2</v>
      </c>
      <c r="I18" t="s">
        <v>304</v>
      </c>
      <c r="J18" t="s">
        <v>305</v>
      </c>
      <c r="K18" t="s">
        <v>306</v>
      </c>
      <c r="L18">
        <v>1368</v>
      </c>
      <c r="N18">
        <v>1011</v>
      </c>
      <c r="O18" t="s">
        <v>301</v>
      </c>
      <c r="P18" t="s">
        <v>301</v>
      </c>
      <c r="Q18">
        <v>1</v>
      </c>
      <c r="W18">
        <v>0</v>
      </c>
      <c r="X18">
        <v>1975152863</v>
      </c>
      <c r="Y18">
        <v>3.97</v>
      </c>
      <c r="AA18">
        <v>0</v>
      </c>
      <c r="AB18">
        <v>377.3</v>
      </c>
      <c r="AC18">
        <v>0</v>
      </c>
      <c r="AD18">
        <v>0</v>
      </c>
      <c r="AE18">
        <v>0</v>
      </c>
      <c r="AF18">
        <v>48.81</v>
      </c>
      <c r="AG18">
        <v>0</v>
      </c>
      <c r="AH18">
        <v>0</v>
      </c>
      <c r="AI18">
        <v>1</v>
      </c>
      <c r="AJ18">
        <v>7.73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3.97</v>
      </c>
      <c r="AU18" t="s">
        <v>3</v>
      </c>
      <c r="AV18">
        <v>0</v>
      </c>
      <c r="AW18">
        <v>2</v>
      </c>
      <c r="AX18">
        <v>96555105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Y18*Source!I38</f>
        <v>0.1191</v>
      </c>
      <c r="CY18">
        <f>AB18</f>
        <v>377.3</v>
      </c>
      <c r="CZ18">
        <f>AF18</f>
        <v>48.81</v>
      </c>
      <c r="DA18">
        <f>AJ18</f>
        <v>7.73</v>
      </c>
      <c r="DB18">
        <f t="shared" si="0"/>
        <v>193.78</v>
      </c>
      <c r="DC18">
        <f t="shared" si="1"/>
        <v>0</v>
      </c>
    </row>
    <row r="19" spans="1:107" x14ac:dyDescent="0.2">
      <c r="A19">
        <f>ROW(Source!A38)</f>
        <v>38</v>
      </c>
      <c r="B19">
        <v>96554872</v>
      </c>
      <c r="C19">
        <v>96555103</v>
      </c>
      <c r="D19">
        <v>94551947</v>
      </c>
      <c r="E19">
        <v>1</v>
      </c>
      <c r="F19">
        <v>1</v>
      </c>
      <c r="G19">
        <v>1</v>
      </c>
      <c r="H19">
        <v>2</v>
      </c>
      <c r="I19" t="s">
        <v>307</v>
      </c>
      <c r="J19" t="s">
        <v>308</v>
      </c>
      <c r="K19" t="s">
        <v>309</v>
      </c>
      <c r="L19">
        <v>1368</v>
      </c>
      <c r="N19">
        <v>1011</v>
      </c>
      <c r="O19" t="s">
        <v>301</v>
      </c>
      <c r="P19" t="s">
        <v>301</v>
      </c>
      <c r="Q19">
        <v>1</v>
      </c>
      <c r="W19">
        <v>0</v>
      </c>
      <c r="X19">
        <v>1943608298</v>
      </c>
      <c r="Y19">
        <v>7.93</v>
      </c>
      <c r="AA19">
        <v>0</v>
      </c>
      <c r="AB19">
        <v>11.83</v>
      </c>
      <c r="AC19">
        <v>0</v>
      </c>
      <c r="AD19">
        <v>0</v>
      </c>
      <c r="AE19">
        <v>0</v>
      </c>
      <c r="AF19">
        <v>1.53</v>
      </c>
      <c r="AG19">
        <v>0</v>
      </c>
      <c r="AH19">
        <v>0</v>
      </c>
      <c r="AI19">
        <v>1</v>
      </c>
      <c r="AJ19">
        <v>7.73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7.93</v>
      </c>
      <c r="AU19" t="s">
        <v>3</v>
      </c>
      <c r="AV19">
        <v>0</v>
      </c>
      <c r="AW19">
        <v>2</v>
      </c>
      <c r="AX19">
        <v>96555106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Y19*Source!I38</f>
        <v>0.23789999999999997</v>
      </c>
      <c r="CY19">
        <f>AB19</f>
        <v>11.83</v>
      </c>
      <c r="CZ19">
        <f>AF19</f>
        <v>1.53</v>
      </c>
      <c r="DA19">
        <f>AJ19</f>
        <v>7.73</v>
      </c>
      <c r="DB19">
        <f t="shared" si="0"/>
        <v>12.13</v>
      </c>
      <c r="DC19">
        <f t="shared" si="1"/>
        <v>0</v>
      </c>
    </row>
    <row r="20" spans="1:107" x14ac:dyDescent="0.2">
      <c r="A20">
        <f>ROW(Source!A38)</f>
        <v>38</v>
      </c>
      <c r="B20">
        <v>96554872</v>
      </c>
      <c r="C20">
        <v>96555103</v>
      </c>
      <c r="D20">
        <v>94394093</v>
      </c>
      <c r="E20">
        <v>56</v>
      </c>
      <c r="F20">
        <v>1</v>
      </c>
      <c r="G20">
        <v>1</v>
      </c>
      <c r="H20">
        <v>3</v>
      </c>
      <c r="I20" t="s">
        <v>25</v>
      </c>
      <c r="J20" t="s">
        <v>3</v>
      </c>
      <c r="K20" t="s">
        <v>26</v>
      </c>
      <c r="L20">
        <v>1348</v>
      </c>
      <c r="N20">
        <v>1009</v>
      </c>
      <c r="O20" t="s">
        <v>27</v>
      </c>
      <c r="P20" t="s">
        <v>27</v>
      </c>
      <c r="Q20">
        <v>1000</v>
      </c>
      <c r="W20">
        <v>0</v>
      </c>
      <c r="X20">
        <v>2102561428</v>
      </c>
      <c r="Y20">
        <v>10.5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7.73</v>
      </c>
      <c r="AJ20">
        <v>1</v>
      </c>
      <c r="AK20">
        <v>1</v>
      </c>
      <c r="AL20">
        <v>1</v>
      </c>
      <c r="AN20">
        <v>0</v>
      </c>
      <c r="AO20">
        <v>0</v>
      </c>
      <c r="AP20">
        <v>1</v>
      </c>
      <c r="AQ20">
        <v>0</v>
      </c>
      <c r="AR20">
        <v>0</v>
      </c>
      <c r="AS20" t="s">
        <v>3</v>
      </c>
      <c r="AT20">
        <v>10.5</v>
      </c>
      <c r="AU20" t="s">
        <v>3</v>
      </c>
      <c r="AV20">
        <v>0</v>
      </c>
      <c r="AW20">
        <v>2</v>
      </c>
      <c r="AX20">
        <v>96555107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Y20*Source!I38</f>
        <v>0.315</v>
      </c>
      <c r="CY20">
        <f>AA20</f>
        <v>0</v>
      </c>
      <c r="CZ20">
        <f>AE20</f>
        <v>0</v>
      </c>
      <c r="DA20">
        <f>AI20</f>
        <v>7.73</v>
      </c>
      <c r="DB20">
        <f t="shared" si="0"/>
        <v>0</v>
      </c>
      <c r="DC20">
        <f t="shared" si="1"/>
        <v>0</v>
      </c>
    </row>
    <row r="21" spans="1:107" x14ac:dyDescent="0.2">
      <c r="A21">
        <f>ROW(Source!A75)</f>
        <v>75</v>
      </c>
      <c r="B21">
        <v>96554872</v>
      </c>
      <c r="C21">
        <v>96555082</v>
      </c>
      <c r="D21">
        <v>94389427</v>
      </c>
      <c r="E21">
        <v>56</v>
      </c>
      <c r="F21">
        <v>1</v>
      </c>
      <c r="G21">
        <v>1</v>
      </c>
      <c r="H21">
        <v>1</v>
      </c>
      <c r="I21" t="s">
        <v>312</v>
      </c>
      <c r="J21" t="s">
        <v>3</v>
      </c>
      <c r="K21" t="s">
        <v>313</v>
      </c>
      <c r="L21">
        <v>1191</v>
      </c>
      <c r="N21">
        <v>1013</v>
      </c>
      <c r="O21" t="s">
        <v>295</v>
      </c>
      <c r="P21" t="s">
        <v>295</v>
      </c>
      <c r="Q21">
        <v>1</v>
      </c>
      <c r="W21">
        <v>0</v>
      </c>
      <c r="X21">
        <v>-400197608</v>
      </c>
      <c r="Y21">
        <v>41.41</v>
      </c>
      <c r="AA21">
        <v>0</v>
      </c>
      <c r="AB21">
        <v>0</v>
      </c>
      <c r="AC21">
        <v>0</v>
      </c>
      <c r="AD21">
        <v>65.94</v>
      </c>
      <c r="AE21">
        <v>0</v>
      </c>
      <c r="AF21">
        <v>0</v>
      </c>
      <c r="AG21">
        <v>0</v>
      </c>
      <c r="AH21">
        <v>8.5299999999999994</v>
      </c>
      <c r="AI21">
        <v>1</v>
      </c>
      <c r="AJ21">
        <v>1</v>
      </c>
      <c r="AK21">
        <v>1</v>
      </c>
      <c r="AL21">
        <v>7.73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41.41</v>
      </c>
      <c r="AU21" t="s">
        <v>3</v>
      </c>
      <c r="AV21">
        <v>1</v>
      </c>
      <c r="AW21">
        <v>2</v>
      </c>
      <c r="AX21">
        <v>96555083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Y21*Source!I75</f>
        <v>1.03525</v>
      </c>
      <c r="CY21">
        <f>AD21</f>
        <v>65.94</v>
      </c>
      <c r="CZ21">
        <f>AH21</f>
        <v>8.5299999999999994</v>
      </c>
      <c r="DA21">
        <f>AL21</f>
        <v>7.73</v>
      </c>
      <c r="DB21">
        <f t="shared" si="0"/>
        <v>353.23</v>
      </c>
      <c r="DC21">
        <f t="shared" si="1"/>
        <v>0</v>
      </c>
    </row>
    <row r="22" spans="1:107" x14ac:dyDescent="0.2">
      <c r="A22">
        <f>ROW(Source!A75)</f>
        <v>75</v>
      </c>
      <c r="B22">
        <v>96554872</v>
      </c>
      <c r="C22">
        <v>96555082</v>
      </c>
      <c r="D22">
        <v>94389608</v>
      </c>
      <c r="E22">
        <v>56</v>
      </c>
      <c r="F22">
        <v>1</v>
      </c>
      <c r="G22">
        <v>1</v>
      </c>
      <c r="H22">
        <v>1</v>
      </c>
      <c r="I22" t="s">
        <v>296</v>
      </c>
      <c r="J22" t="s">
        <v>3</v>
      </c>
      <c r="K22" t="s">
        <v>297</v>
      </c>
      <c r="L22">
        <v>1191</v>
      </c>
      <c r="N22">
        <v>1013</v>
      </c>
      <c r="O22" t="s">
        <v>295</v>
      </c>
      <c r="P22" t="s">
        <v>295</v>
      </c>
      <c r="Q22">
        <v>1</v>
      </c>
      <c r="W22">
        <v>0</v>
      </c>
      <c r="X22">
        <v>-1417349443</v>
      </c>
      <c r="Y22">
        <v>0.12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7.73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0.12</v>
      </c>
      <c r="AU22" t="s">
        <v>3</v>
      </c>
      <c r="AV22">
        <v>2</v>
      </c>
      <c r="AW22">
        <v>2</v>
      </c>
      <c r="AX22">
        <v>96555084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Y22*Source!I75</f>
        <v>3.0000000000000001E-3</v>
      </c>
      <c r="CY22">
        <f>AD22</f>
        <v>0</v>
      </c>
      <c r="CZ22">
        <f>AH22</f>
        <v>0</v>
      </c>
      <c r="DA22">
        <f>AL22</f>
        <v>1</v>
      </c>
      <c r="DB22">
        <f t="shared" si="0"/>
        <v>0</v>
      </c>
      <c r="DC22">
        <f t="shared" si="1"/>
        <v>0</v>
      </c>
    </row>
    <row r="23" spans="1:107" x14ac:dyDescent="0.2">
      <c r="A23">
        <f>ROW(Source!A75)</f>
        <v>75</v>
      </c>
      <c r="B23">
        <v>96554872</v>
      </c>
      <c r="C23">
        <v>96555082</v>
      </c>
      <c r="D23">
        <v>94550530</v>
      </c>
      <c r="E23">
        <v>1</v>
      </c>
      <c r="F23">
        <v>1</v>
      </c>
      <c r="G23">
        <v>1</v>
      </c>
      <c r="H23">
        <v>2</v>
      </c>
      <c r="I23" t="s">
        <v>298</v>
      </c>
      <c r="J23" t="s">
        <v>299</v>
      </c>
      <c r="K23" t="s">
        <v>300</v>
      </c>
      <c r="L23">
        <v>1368</v>
      </c>
      <c r="N23">
        <v>1011</v>
      </c>
      <c r="O23" t="s">
        <v>301</v>
      </c>
      <c r="P23" t="s">
        <v>301</v>
      </c>
      <c r="Q23">
        <v>1</v>
      </c>
      <c r="W23">
        <v>0</v>
      </c>
      <c r="X23">
        <v>10009565</v>
      </c>
      <c r="Y23">
        <v>0.08</v>
      </c>
      <c r="AA23">
        <v>0</v>
      </c>
      <c r="AB23">
        <v>241.64</v>
      </c>
      <c r="AC23">
        <v>13.5</v>
      </c>
      <c r="AD23">
        <v>0</v>
      </c>
      <c r="AE23">
        <v>0</v>
      </c>
      <c r="AF23">
        <v>31.26</v>
      </c>
      <c r="AG23">
        <v>13.5</v>
      </c>
      <c r="AH23">
        <v>0</v>
      </c>
      <c r="AI23">
        <v>1</v>
      </c>
      <c r="AJ23">
        <v>7.73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0.08</v>
      </c>
      <c r="AU23" t="s">
        <v>3</v>
      </c>
      <c r="AV23">
        <v>0</v>
      </c>
      <c r="AW23">
        <v>2</v>
      </c>
      <c r="AX23">
        <v>96555085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Y23*Source!I75</f>
        <v>2E-3</v>
      </c>
      <c r="CY23">
        <f>AB23</f>
        <v>241.64</v>
      </c>
      <c r="CZ23">
        <f>AF23</f>
        <v>31.26</v>
      </c>
      <c r="DA23">
        <f>AJ23</f>
        <v>7.73</v>
      </c>
      <c r="DB23">
        <f t="shared" si="0"/>
        <v>2.5</v>
      </c>
      <c r="DC23">
        <f t="shared" si="1"/>
        <v>1.08</v>
      </c>
    </row>
    <row r="24" spans="1:107" x14ac:dyDescent="0.2">
      <c r="A24">
        <f>ROW(Source!A75)</f>
        <v>75</v>
      </c>
      <c r="B24">
        <v>96554872</v>
      </c>
      <c r="C24">
        <v>96555082</v>
      </c>
      <c r="D24">
        <v>94551263</v>
      </c>
      <c r="E24">
        <v>1</v>
      </c>
      <c r="F24">
        <v>1</v>
      </c>
      <c r="G24">
        <v>1</v>
      </c>
      <c r="H24">
        <v>2</v>
      </c>
      <c r="I24" t="s">
        <v>314</v>
      </c>
      <c r="J24" t="s">
        <v>315</v>
      </c>
      <c r="K24" t="s">
        <v>316</v>
      </c>
      <c r="L24">
        <v>1368</v>
      </c>
      <c r="N24">
        <v>1011</v>
      </c>
      <c r="O24" t="s">
        <v>301</v>
      </c>
      <c r="P24" t="s">
        <v>301</v>
      </c>
      <c r="Q24">
        <v>1</v>
      </c>
      <c r="W24">
        <v>0</v>
      </c>
      <c r="X24">
        <v>-841254546</v>
      </c>
      <c r="Y24">
        <v>0.04</v>
      </c>
      <c r="AA24">
        <v>0</v>
      </c>
      <c r="AB24">
        <v>507.94</v>
      </c>
      <c r="AC24">
        <v>11.6</v>
      </c>
      <c r="AD24">
        <v>0</v>
      </c>
      <c r="AE24">
        <v>0</v>
      </c>
      <c r="AF24">
        <v>65.709999999999994</v>
      </c>
      <c r="AG24">
        <v>11.6</v>
      </c>
      <c r="AH24">
        <v>0</v>
      </c>
      <c r="AI24">
        <v>1</v>
      </c>
      <c r="AJ24">
        <v>7.73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0.04</v>
      </c>
      <c r="AU24" t="s">
        <v>3</v>
      </c>
      <c r="AV24">
        <v>0</v>
      </c>
      <c r="AW24">
        <v>2</v>
      </c>
      <c r="AX24">
        <v>96555086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Y24*Source!I75</f>
        <v>1E-3</v>
      </c>
      <c r="CY24">
        <f>AB24</f>
        <v>507.94</v>
      </c>
      <c r="CZ24">
        <f>AF24</f>
        <v>65.709999999999994</v>
      </c>
      <c r="DA24">
        <f>AJ24</f>
        <v>7.73</v>
      </c>
      <c r="DB24">
        <f t="shared" si="0"/>
        <v>2.63</v>
      </c>
      <c r="DC24">
        <f t="shared" si="1"/>
        <v>0.46</v>
      </c>
    </row>
    <row r="25" spans="1:107" x14ac:dyDescent="0.2">
      <c r="A25">
        <f>ROW(Source!A75)</f>
        <v>75</v>
      </c>
      <c r="B25">
        <v>96554872</v>
      </c>
      <c r="C25">
        <v>96555082</v>
      </c>
      <c r="D25">
        <v>94403635</v>
      </c>
      <c r="E25">
        <v>1</v>
      </c>
      <c r="F25">
        <v>1</v>
      </c>
      <c r="G25">
        <v>1</v>
      </c>
      <c r="H25">
        <v>3</v>
      </c>
      <c r="I25" t="s">
        <v>317</v>
      </c>
      <c r="J25" t="s">
        <v>318</v>
      </c>
      <c r="K25" t="s">
        <v>319</v>
      </c>
      <c r="L25">
        <v>1348</v>
      </c>
      <c r="N25">
        <v>1009</v>
      </c>
      <c r="O25" t="s">
        <v>27</v>
      </c>
      <c r="P25" t="s">
        <v>27</v>
      </c>
      <c r="Q25">
        <v>1000</v>
      </c>
      <c r="W25">
        <v>0</v>
      </c>
      <c r="X25">
        <v>-2110081257</v>
      </c>
      <c r="Y25">
        <v>4.0000000000000001E-3</v>
      </c>
      <c r="AA25">
        <v>92589.94</v>
      </c>
      <c r="AB25">
        <v>0</v>
      </c>
      <c r="AC25">
        <v>0</v>
      </c>
      <c r="AD25">
        <v>0</v>
      </c>
      <c r="AE25">
        <v>11978</v>
      </c>
      <c r="AF25">
        <v>0</v>
      </c>
      <c r="AG25">
        <v>0</v>
      </c>
      <c r="AH25">
        <v>0</v>
      </c>
      <c r="AI25">
        <v>7.73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4.0000000000000001E-3</v>
      </c>
      <c r="AU25" t="s">
        <v>3</v>
      </c>
      <c r="AV25">
        <v>0</v>
      </c>
      <c r="AW25">
        <v>2</v>
      </c>
      <c r="AX25">
        <v>96555087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Y25*Source!I75</f>
        <v>1E-4</v>
      </c>
      <c r="CY25">
        <f>AA25</f>
        <v>92589.94</v>
      </c>
      <c r="CZ25">
        <f>AE25</f>
        <v>11978</v>
      </c>
      <c r="DA25">
        <f>AI25</f>
        <v>7.73</v>
      </c>
      <c r="DB25">
        <f t="shared" si="0"/>
        <v>47.91</v>
      </c>
      <c r="DC25">
        <f t="shared" si="1"/>
        <v>0</v>
      </c>
    </row>
    <row r="26" spans="1:107" x14ac:dyDescent="0.2">
      <c r="A26">
        <f>ROW(Source!A75)</f>
        <v>75</v>
      </c>
      <c r="B26">
        <v>96554872</v>
      </c>
      <c r="C26">
        <v>96555082</v>
      </c>
      <c r="D26">
        <v>94420742</v>
      </c>
      <c r="E26">
        <v>1</v>
      </c>
      <c r="F26">
        <v>1</v>
      </c>
      <c r="G26">
        <v>1</v>
      </c>
      <c r="H26">
        <v>3</v>
      </c>
      <c r="I26" t="s">
        <v>320</v>
      </c>
      <c r="J26" t="s">
        <v>321</v>
      </c>
      <c r="K26" t="s">
        <v>322</v>
      </c>
      <c r="L26">
        <v>1348</v>
      </c>
      <c r="N26">
        <v>1009</v>
      </c>
      <c r="O26" t="s">
        <v>27</v>
      </c>
      <c r="P26" t="s">
        <v>27</v>
      </c>
      <c r="Q26">
        <v>1000</v>
      </c>
      <c r="W26">
        <v>0</v>
      </c>
      <c r="X26">
        <v>1244923049</v>
      </c>
      <c r="Y26">
        <v>6.0000000000000001E-3</v>
      </c>
      <c r="AA26">
        <v>62017.79</v>
      </c>
      <c r="AB26">
        <v>0</v>
      </c>
      <c r="AC26">
        <v>0</v>
      </c>
      <c r="AD26">
        <v>0</v>
      </c>
      <c r="AE26">
        <v>8023</v>
      </c>
      <c r="AF26">
        <v>0</v>
      </c>
      <c r="AG26">
        <v>0</v>
      </c>
      <c r="AH26">
        <v>0</v>
      </c>
      <c r="AI26">
        <v>7.73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6.0000000000000001E-3</v>
      </c>
      <c r="AU26" t="s">
        <v>3</v>
      </c>
      <c r="AV26">
        <v>0</v>
      </c>
      <c r="AW26">
        <v>2</v>
      </c>
      <c r="AX26">
        <v>96555088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Y26*Source!I75</f>
        <v>1.5000000000000001E-4</v>
      </c>
      <c r="CY26">
        <f>AA26</f>
        <v>62017.79</v>
      </c>
      <c r="CZ26">
        <f>AE26</f>
        <v>8023</v>
      </c>
      <c r="DA26">
        <f>AI26</f>
        <v>7.73</v>
      </c>
      <c r="DB26">
        <f t="shared" si="0"/>
        <v>48.14</v>
      </c>
      <c r="DC26">
        <f t="shared" si="1"/>
        <v>0</v>
      </c>
    </row>
    <row r="27" spans="1:107" x14ac:dyDescent="0.2">
      <c r="A27">
        <f>ROW(Source!A75)</f>
        <v>75</v>
      </c>
      <c r="B27">
        <v>96554872</v>
      </c>
      <c r="C27">
        <v>96555082</v>
      </c>
      <c r="D27">
        <v>94420993</v>
      </c>
      <c r="E27">
        <v>1</v>
      </c>
      <c r="F27">
        <v>1</v>
      </c>
      <c r="G27">
        <v>1</v>
      </c>
      <c r="H27">
        <v>3</v>
      </c>
      <c r="I27" t="s">
        <v>116</v>
      </c>
      <c r="J27" t="s">
        <v>118</v>
      </c>
      <c r="K27" t="s">
        <v>117</v>
      </c>
      <c r="L27">
        <v>1348</v>
      </c>
      <c r="N27">
        <v>1009</v>
      </c>
      <c r="O27" t="s">
        <v>27</v>
      </c>
      <c r="P27" t="s">
        <v>27</v>
      </c>
      <c r="Q27">
        <v>1000</v>
      </c>
      <c r="W27">
        <v>0</v>
      </c>
      <c r="X27">
        <v>1036086779</v>
      </c>
      <c r="Y27">
        <v>5.6599999999999998E-2</v>
      </c>
      <c r="AA27">
        <v>86576</v>
      </c>
      <c r="AB27">
        <v>0</v>
      </c>
      <c r="AC27">
        <v>0</v>
      </c>
      <c r="AD27">
        <v>0</v>
      </c>
      <c r="AE27">
        <v>11200</v>
      </c>
      <c r="AF27">
        <v>0</v>
      </c>
      <c r="AG27">
        <v>0</v>
      </c>
      <c r="AH27">
        <v>0</v>
      </c>
      <c r="AI27">
        <v>7.73</v>
      </c>
      <c r="AJ27">
        <v>1</v>
      </c>
      <c r="AK27">
        <v>1</v>
      </c>
      <c r="AL27">
        <v>1</v>
      </c>
      <c r="AN27">
        <v>0</v>
      </c>
      <c r="AO27">
        <v>0</v>
      </c>
      <c r="AP27">
        <v>0</v>
      </c>
      <c r="AQ27">
        <v>0</v>
      </c>
      <c r="AR27">
        <v>0</v>
      </c>
      <c r="AS27" t="s">
        <v>3</v>
      </c>
      <c r="AT27">
        <v>5.6599999999999998E-2</v>
      </c>
      <c r="AU27" t="s">
        <v>3</v>
      </c>
      <c r="AV27">
        <v>0</v>
      </c>
      <c r="AW27">
        <v>1</v>
      </c>
      <c r="AX27">
        <v>-1</v>
      </c>
      <c r="AY27">
        <v>0</v>
      </c>
      <c r="AZ27">
        <v>0</v>
      </c>
      <c r="BA27" t="s">
        <v>3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Y27*Source!I75</f>
        <v>1.415E-3</v>
      </c>
      <c r="CY27">
        <f>AA27</f>
        <v>86576</v>
      </c>
      <c r="CZ27">
        <f>AE27</f>
        <v>11200</v>
      </c>
      <c r="DA27">
        <f>AI27</f>
        <v>7.73</v>
      </c>
      <c r="DB27">
        <f t="shared" si="0"/>
        <v>633.91999999999996</v>
      </c>
      <c r="DC27">
        <f t="shared" si="1"/>
        <v>0</v>
      </c>
    </row>
    <row r="28" spans="1:107" x14ac:dyDescent="0.2">
      <c r="A28">
        <f>ROW(Source!A75)</f>
        <v>75</v>
      </c>
      <c r="B28">
        <v>96554872</v>
      </c>
      <c r="C28">
        <v>96555082</v>
      </c>
      <c r="D28">
        <v>94394093</v>
      </c>
      <c r="E28">
        <v>56</v>
      </c>
      <c r="F28">
        <v>1</v>
      </c>
      <c r="G28">
        <v>1</v>
      </c>
      <c r="H28">
        <v>3</v>
      </c>
      <c r="I28" t="s">
        <v>25</v>
      </c>
      <c r="J28" t="s">
        <v>3</v>
      </c>
      <c r="K28" t="s">
        <v>26</v>
      </c>
      <c r="L28">
        <v>1348</v>
      </c>
      <c r="N28">
        <v>1009</v>
      </c>
      <c r="O28" t="s">
        <v>27</v>
      </c>
      <c r="P28" t="s">
        <v>27</v>
      </c>
      <c r="Q28">
        <v>1000</v>
      </c>
      <c r="W28">
        <v>0</v>
      </c>
      <c r="X28">
        <v>2102561428</v>
      </c>
      <c r="Y28">
        <v>0.224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7.73</v>
      </c>
      <c r="AJ28">
        <v>1</v>
      </c>
      <c r="AK28">
        <v>1</v>
      </c>
      <c r="AL28">
        <v>1</v>
      </c>
      <c r="AN28">
        <v>0</v>
      </c>
      <c r="AO28">
        <v>0</v>
      </c>
      <c r="AP28">
        <v>1</v>
      </c>
      <c r="AQ28">
        <v>0</v>
      </c>
      <c r="AR28">
        <v>0</v>
      </c>
      <c r="AS28" t="s">
        <v>3</v>
      </c>
      <c r="AT28">
        <v>0.224</v>
      </c>
      <c r="AU28" t="s">
        <v>3</v>
      </c>
      <c r="AV28">
        <v>0</v>
      </c>
      <c r="AW28">
        <v>2</v>
      </c>
      <c r="AX28">
        <v>96555090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Y28*Source!I75</f>
        <v>5.6000000000000008E-3</v>
      </c>
      <c r="CY28">
        <f>AA28</f>
        <v>0</v>
      </c>
      <c r="CZ28">
        <f>AE28</f>
        <v>0</v>
      </c>
      <c r="DA28">
        <f>AI28</f>
        <v>7.73</v>
      </c>
      <c r="DB28">
        <f t="shared" si="0"/>
        <v>0</v>
      </c>
      <c r="DC28">
        <f t="shared" si="1"/>
        <v>0</v>
      </c>
    </row>
    <row r="29" spans="1:107" x14ac:dyDescent="0.2">
      <c r="A29">
        <f>ROW(Source!A78)</f>
        <v>78</v>
      </c>
      <c r="B29">
        <v>96554872</v>
      </c>
      <c r="C29">
        <v>96555111</v>
      </c>
      <c r="D29">
        <v>94389431</v>
      </c>
      <c r="E29">
        <v>56</v>
      </c>
      <c r="F29">
        <v>1</v>
      </c>
      <c r="G29">
        <v>1</v>
      </c>
      <c r="H29">
        <v>1</v>
      </c>
      <c r="I29" t="s">
        <v>323</v>
      </c>
      <c r="J29" t="s">
        <v>3</v>
      </c>
      <c r="K29" t="s">
        <v>324</v>
      </c>
      <c r="L29">
        <v>1191</v>
      </c>
      <c r="N29">
        <v>1013</v>
      </c>
      <c r="O29" t="s">
        <v>295</v>
      </c>
      <c r="P29" t="s">
        <v>295</v>
      </c>
      <c r="Q29">
        <v>1</v>
      </c>
      <c r="W29">
        <v>0</v>
      </c>
      <c r="X29">
        <v>-784637506</v>
      </c>
      <c r="Y29">
        <v>166.96849999999998</v>
      </c>
      <c r="AA29">
        <v>0</v>
      </c>
      <c r="AB29">
        <v>0</v>
      </c>
      <c r="AC29">
        <v>0</v>
      </c>
      <c r="AD29">
        <v>67.56</v>
      </c>
      <c r="AE29">
        <v>0</v>
      </c>
      <c r="AF29">
        <v>0</v>
      </c>
      <c r="AG29">
        <v>0</v>
      </c>
      <c r="AH29">
        <v>8.74</v>
      </c>
      <c r="AI29">
        <v>1</v>
      </c>
      <c r="AJ29">
        <v>1</v>
      </c>
      <c r="AK29">
        <v>1</v>
      </c>
      <c r="AL29">
        <v>7.73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145.19</v>
      </c>
      <c r="AU29" t="s">
        <v>125</v>
      </c>
      <c r="AV29">
        <v>1</v>
      </c>
      <c r="AW29">
        <v>2</v>
      </c>
      <c r="AX29">
        <v>96555112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Y29*Source!I78</f>
        <v>108.86346199999998</v>
      </c>
      <c r="CY29">
        <f>AD29</f>
        <v>67.56</v>
      </c>
      <c r="CZ29">
        <f>AH29</f>
        <v>8.74</v>
      </c>
      <c r="DA29">
        <f>AL29</f>
        <v>7.73</v>
      </c>
      <c r="DB29">
        <f>ROUND((ROUND(AT29*CZ29,2)*1.15),2)</f>
        <v>1459.3</v>
      </c>
      <c r="DC29">
        <f>ROUND((ROUND(AT29*AG29,2)*1.15),2)</f>
        <v>0</v>
      </c>
    </row>
    <row r="30" spans="1:107" x14ac:dyDescent="0.2">
      <c r="A30">
        <f>ROW(Source!A78)</f>
        <v>78</v>
      </c>
      <c r="B30">
        <v>96554872</v>
      </c>
      <c r="C30">
        <v>96555111</v>
      </c>
      <c r="D30">
        <v>94389608</v>
      </c>
      <c r="E30">
        <v>56</v>
      </c>
      <c r="F30">
        <v>1</v>
      </c>
      <c r="G30">
        <v>1</v>
      </c>
      <c r="H30">
        <v>1</v>
      </c>
      <c r="I30" t="s">
        <v>296</v>
      </c>
      <c r="J30" t="s">
        <v>3</v>
      </c>
      <c r="K30" t="s">
        <v>297</v>
      </c>
      <c r="L30">
        <v>1191</v>
      </c>
      <c r="N30">
        <v>1013</v>
      </c>
      <c r="O30" t="s">
        <v>295</v>
      </c>
      <c r="P30" t="s">
        <v>295</v>
      </c>
      <c r="Q30">
        <v>1</v>
      </c>
      <c r="W30">
        <v>0</v>
      </c>
      <c r="X30">
        <v>-1417349443</v>
      </c>
      <c r="Y30">
        <v>4.9249999999999998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7.73</v>
      </c>
      <c r="AL30">
        <v>1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3.94</v>
      </c>
      <c r="AU30" t="s">
        <v>124</v>
      </c>
      <c r="AV30">
        <v>2</v>
      </c>
      <c r="AW30">
        <v>2</v>
      </c>
      <c r="AX30">
        <v>96555113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Y30*Source!I78</f>
        <v>3.2111000000000001</v>
      </c>
      <c r="CY30">
        <f>AD30</f>
        <v>0</v>
      </c>
      <c r="CZ30">
        <f>AH30</f>
        <v>0</v>
      </c>
      <c r="DA30">
        <f>AL30</f>
        <v>1</v>
      </c>
      <c r="DB30">
        <f>ROUND((ROUND(AT30*CZ30,2)*1.25),2)</f>
        <v>0</v>
      </c>
      <c r="DC30">
        <f>ROUND((ROUND(AT30*AG30,2)*1.25),2)</f>
        <v>0</v>
      </c>
    </row>
    <row r="31" spans="1:107" x14ac:dyDescent="0.2">
      <c r="A31">
        <f>ROW(Source!A78)</f>
        <v>78</v>
      </c>
      <c r="B31">
        <v>96554872</v>
      </c>
      <c r="C31">
        <v>96555111</v>
      </c>
      <c r="D31">
        <v>94550530</v>
      </c>
      <c r="E31">
        <v>1</v>
      </c>
      <c r="F31">
        <v>1</v>
      </c>
      <c r="G31">
        <v>1</v>
      </c>
      <c r="H31">
        <v>2</v>
      </c>
      <c r="I31" t="s">
        <v>298</v>
      </c>
      <c r="J31" t="s">
        <v>299</v>
      </c>
      <c r="K31" t="s">
        <v>300</v>
      </c>
      <c r="L31">
        <v>1368</v>
      </c>
      <c r="N31">
        <v>1011</v>
      </c>
      <c r="O31" t="s">
        <v>301</v>
      </c>
      <c r="P31" t="s">
        <v>301</v>
      </c>
      <c r="Q31">
        <v>1</v>
      </c>
      <c r="W31">
        <v>0</v>
      </c>
      <c r="X31">
        <v>10009565</v>
      </c>
      <c r="Y31">
        <v>0.82500000000000007</v>
      </c>
      <c r="AA31">
        <v>0</v>
      </c>
      <c r="AB31">
        <v>241.64</v>
      </c>
      <c r="AC31">
        <v>13.5</v>
      </c>
      <c r="AD31">
        <v>0</v>
      </c>
      <c r="AE31">
        <v>0</v>
      </c>
      <c r="AF31">
        <v>31.26</v>
      </c>
      <c r="AG31">
        <v>13.5</v>
      </c>
      <c r="AH31">
        <v>0</v>
      </c>
      <c r="AI31">
        <v>1</v>
      </c>
      <c r="AJ31">
        <v>7.73</v>
      </c>
      <c r="AK31">
        <v>1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0.66</v>
      </c>
      <c r="AU31" t="s">
        <v>124</v>
      </c>
      <c r="AV31">
        <v>0</v>
      </c>
      <c r="AW31">
        <v>2</v>
      </c>
      <c r="AX31">
        <v>96555114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Y31*Source!I78</f>
        <v>0.53790000000000004</v>
      </c>
      <c r="CY31">
        <f>AB31</f>
        <v>241.64</v>
      </c>
      <c r="CZ31">
        <f>AF31</f>
        <v>31.26</v>
      </c>
      <c r="DA31">
        <f>AJ31</f>
        <v>7.73</v>
      </c>
      <c r="DB31">
        <f>ROUND((ROUND(AT31*CZ31,2)*1.25),2)</f>
        <v>25.79</v>
      </c>
      <c r="DC31">
        <f>ROUND((ROUND(AT31*AG31,2)*1.25),2)</f>
        <v>11.14</v>
      </c>
    </row>
    <row r="32" spans="1:107" x14ac:dyDescent="0.2">
      <c r="A32">
        <f>ROW(Source!A78)</f>
        <v>78</v>
      </c>
      <c r="B32">
        <v>96554872</v>
      </c>
      <c r="C32">
        <v>96555111</v>
      </c>
      <c r="D32">
        <v>94551263</v>
      </c>
      <c r="E32">
        <v>1</v>
      </c>
      <c r="F32">
        <v>1</v>
      </c>
      <c r="G32">
        <v>1</v>
      </c>
      <c r="H32">
        <v>2</v>
      </c>
      <c r="I32" t="s">
        <v>314</v>
      </c>
      <c r="J32" t="s">
        <v>315</v>
      </c>
      <c r="K32" t="s">
        <v>316</v>
      </c>
      <c r="L32">
        <v>1368</v>
      </c>
      <c r="N32">
        <v>1011</v>
      </c>
      <c r="O32" t="s">
        <v>301</v>
      </c>
      <c r="P32" t="s">
        <v>301</v>
      </c>
      <c r="Q32">
        <v>1</v>
      </c>
      <c r="W32">
        <v>0</v>
      </c>
      <c r="X32">
        <v>-841254546</v>
      </c>
      <c r="Y32">
        <v>4.0999999999999996</v>
      </c>
      <c r="AA32">
        <v>0</v>
      </c>
      <c r="AB32">
        <v>507.94</v>
      </c>
      <c r="AC32">
        <v>11.6</v>
      </c>
      <c r="AD32">
        <v>0</v>
      </c>
      <c r="AE32">
        <v>0</v>
      </c>
      <c r="AF32">
        <v>65.709999999999994</v>
      </c>
      <c r="AG32">
        <v>11.6</v>
      </c>
      <c r="AH32">
        <v>0</v>
      </c>
      <c r="AI32">
        <v>1</v>
      </c>
      <c r="AJ32">
        <v>7.73</v>
      </c>
      <c r="AK32">
        <v>1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3.28</v>
      </c>
      <c r="AU32" t="s">
        <v>124</v>
      </c>
      <c r="AV32">
        <v>0</v>
      </c>
      <c r="AW32">
        <v>2</v>
      </c>
      <c r="AX32">
        <v>96555115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Y32*Source!I78</f>
        <v>2.6732</v>
      </c>
      <c r="CY32">
        <f>AB32</f>
        <v>507.94</v>
      </c>
      <c r="CZ32">
        <f>AF32</f>
        <v>65.709999999999994</v>
      </c>
      <c r="DA32">
        <f>AJ32</f>
        <v>7.73</v>
      </c>
      <c r="DB32">
        <f>ROUND((ROUND(AT32*CZ32,2)*1.25),2)</f>
        <v>269.41000000000003</v>
      </c>
      <c r="DC32">
        <f>ROUND((ROUND(AT32*AG32,2)*1.25),2)</f>
        <v>47.56</v>
      </c>
    </row>
    <row r="33" spans="1:107" x14ac:dyDescent="0.2">
      <c r="A33">
        <f>ROW(Source!A78)</f>
        <v>78</v>
      </c>
      <c r="B33">
        <v>96554872</v>
      </c>
      <c r="C33">
        <v>96555111</v>
      </c>
      <c r="D33">
        <v>94401527</v>
      </c>
      <c r="E33">
        <v>1</v>
      </c>
      <c r="F33">
        <v>1</v>
      </c>
      <c r="G33">
        <v>1</v>
      </c>
      <c r="H33">
        <v>3</v>
      </c>
      <c r="I33" t="s">
        <v>325</v>
      </c>
      <c r="J33" t="s">
        <v>326</v>
      </c>
      <c r="K33" t="s">
        <v>327</v>
      </c>
      <c r="L33">
        <v>1301</v>
      </c>
      <c r="N33">
        <v>1003</v>
      </c>
      <c r="O33" t="s">
        <v>152</v>
      </c>
      <c r="P33" t="s">
        <v>152</v>
      </c>
      <c r="Q33">
        <v>1</v>
      </c>
      <c r="W33">
        <v>0</v>
      </c>
      <c r="X33">
        <v>874148728</v>
      </c>
      <c r="Y33">
        <v>248.5</v>
      </c>
      <c r="AA33">
        <v>49.32</v>
      </c>
      <c r="AB33">
        <v>0</v>
      </c>
      <c r="AC33">
        <v>0</v>
      </c>
      <c r="AD33">
        <v>0</v>
      </c>
      <c r="AE33">
        <v>6.38</v>
      </c>
      <c r="AF33">
        <v>0</v>
      </c>
      <c r="AG33">
        <v>0</v>
      </c>
      <c r="AH33">
        <v>0</v>
      </c>
      <c r="AI33">
        <v>7.73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248.5</v>
      </c>
      <c r="AU33" t="s">
        <v>3</v>
      </c>
      <c r="AV33">
        <v>0</v>
      </c>
      <c r="AW33">
        <v>2</v>
      </c>
      <c r="AX33">
        <v>96555116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Y33*Source!I78</f>
        <v>162.02200000000002</v>
      </c>
      <c r="CY33">
        <f t="shared" ref="CY33:CY38" si="2">AA33</f>
        <v>49.32</v>
      </c>
      <c r="CZ33">
        <f t="shared" ref="CZ33:CZ38" si="3">AE33</f>
        <v>6.38</v>
      </c>
      <c r="DA33">
        <f t="shared" ref="DA33:DA38" si="4">AI33</f>
        <v>7.73</v>
      </c>
      <c r="DB33">
        <f t="shared" ref="DB33:DB38" si="5">ROUND(ROUND(AT33*CZ33,2),2)</f>
        <v>1585.43</v>
      </c>
      <c r="DC33">
        <f t="shared" ref="DC33:DC38" si="6">ROUND(ROUND(AT33*AG33,2),2)</f>
        <v>0</v>
      </c>
    </row>
    <row r="34" spans="1:107" x14ac:dyDescent="0.2">
      <c r="A34">
        <f>ROW(Source!A78)</f>
        <v>78</v>
      </c>
      <c r="B34">
        <v>96554872</v>
      </c>
      <c r="C34">
        <v>96555111</v>
      </c>
      <c r="D34">
        <v>94401528</v>
      </c>
      <c r="E34">
        <v>1</v>
      </c>
      <c r="F34">
        <v>1</v>
      </c>
      <c r="G34">
        <v>1</v>
      </c>
      <c r="H34">
        <v>3</v>
      </c>
      <c r="I34" t="s">
        <v>328</v>
      </c>
      <c r="J34" t="s">
        <v>329</v>
      </c>
      <c r="K34" t="s">
        <v>330</v>
      </c>
      <c r="L34">
        <v>1301</v>
      </c>
      <c r="N34">
        <v>1003</v>
      </c>
      <c r="O34" t="s">
        <v>152</v>
      </c>
      <c r="P34" t="s">
        <v>152</v>
      </c>
      <c r="Q34">
        <v>1</v>
      </c>
      <c r="W34">
        <v>0</v>
      </c>
      <c r="X34">
        <v>1533874</v>
      </c>
      <c r="Y34">
        <v>57.5</v>
      </c>
      <c r="AA34">
        <v>61.45</v>
      </c>
      <c r="AB34">
        <v>0</v>
      </c>
      <c r="AC34">
        <v>0</v>
      </c>
      <c r="AD34">
        <v>0</v>
      </c>
      <c r="AE34">
        <v>7.95</v>
      </c>
      <c r="AF34">
        <v>0</v>
      </c>
      <c r="AG34">
        <v>0</v>
      </c>
      <c r="AH34">
        <v>0</v>
      </c>
      <c r="AI34">
        <v>7.73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57.5</v>
      </c>
      <c r="AU34" t="s">
        <v>3</v>
      </c>
      <c r="AV34">
        <v>0</v>
      </c>
      <c r="AW34">
        <v>2</v>
      </c>
      <c r="AX34">
        <v>96555117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Y34*Source!I78</f>
        <v>37.49</v>
      </c>
      <c r="CY34">
        <f t="shared" si="2"/>
        <v>61.45</v>
      </c>
      <c r="CZ34">
        <f t="shared" si="3"/>
        <v>7.95</v>
      </c>
      <c r="DA34">
        <f t="shared" si="4"/>
        <v>7.73</v>
      </c>
      <c r="DB34">
        <f t="shared" si="5"/>
        <v>457.13</v>
      </c>
      <c r="DC34">
        <f t="shared" si="6"/>
        <v>0</v>
      </c>
    </row>
    <row r="35" spans="1:107" x14ac:dyDescent="0.2">
      <c r="A35">
        <f>ROW(Source!A78)</f>
        <v>78</v>
      </c>
      <c r="B35">
        <v>96554872</v>
      </c>
      <c r="C35">
        <v>96555111</v>
      </c>
      <c r="D35">
        <v>94401614</v>
      </c>
      <c r="E35">
        <v>1</v>
      </c>
      <c r="F35">
        <v>1</v>
      </c>
      <c r="G35">
        <v>1</v>
      </c>
      <c r="H35">
        <v>3</v>
      </c>
      <c r="I35" t="s">
        <v>331</v>
      </c>
      <c r="J35" t="s">
        <v>332</v>
      </c>
      <c r="K35" t="s">
        <v>333</v>
      </c>
      <c r="L35">
        <v>1302</v>
      </c>
      <c r="N35">
        <v>1003</v>
      </c>
      <c r="O35" t="s">
        <v>334</v>
      </c>
      <c r="P35" t="s">
        <v>334</v>
      </c>
      <c r="Q35">
        <v>10</v>
      </c>
      <c r="W35">
        <v>0</v>
      </c>
      <c r="X35">
        <v>770371103</v>
      </c>
      <c r="Y35">
        <v>15.75</v>
      </c>
      <c r="AA35">
        <v>495.49</v>
      </c>
      <c r="AB35">
        <v>0</v>
      </c>
      <c r="AC35">
        <v>0</v>
      </c>
      <c r="AD35">
        <v>0</v>
      </c>
      <c r="AE35">
        <v>64.099999999999994</v>
      </c>
      <c r="AF35">
        <v>0</v>
      </c>
      <c r="AG35">
        <v>0</v>
      </c>
      <c r="AH35">
        <v>0</v>
      </c>
      <c r="AI35">
        <v>7.73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15.75</v>
      </c>
      <c r="AU35" t="s">
        <v>3</v>
      </c>
      <c r="AV35">
        <v>0</v>
      </c>
      <c r="AW35">
        <v>2</v>
      </c>
      <c r="AX35">
        <v>96555118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Y35*Source!I78</f>
        <v>10.269</v>
      </c>
      <c r="CY35">
        <f t="shared" si="2"/>
        <v>495.49</v>
      </c>
      <c r="CZ35">
        <f t="shared" si="3"/>
        <v>64.099999999999994</v>
      </c>
      <c r="DA35">
        <f t="shared" si="4"/>
        <v>7.73</v>
      </c>
      <c r="DB35">
        <f t="shared" si="5"/>
        <v>1009.58</v>
      </c>
      <c r="DC35">
        <f t="shared" si="6"/>
        <v>0</v>
      </c>
    </row>
    <row r="36" spans="1:107" x14ac:dyDescent="0.2">
      <c r="A36">
        <f>ROW(Source!A78)</f>
        <v>78</v>
      </c>
      <c r="B36">
        <v>96554872</v>
      </c>
      <c r="C36">
        <v>96555111</v>
      </c>
      <c r="D36">
        <v>94403659</v>
      </c>
      <c r="E36">
        <v>1</v>
      </c>
      <c r="F36">
        <v>1</v>
      </c>
      <c r="G36">
        <v>1</v>
      </c>
      <c r="H36">
        <v>3</v>
      </c>
      <c r="I36" t="s">
        <v>335</v>
      </c>
      <c r="J36" t="s">
        <v>336</v>
      </c>
      <c r="K36" t="s">
        <v>337</v>
      </c>
      <c r="L36">
        <v>1455</v>
      </c>
      <c r="N36">
        <v>1013</v>
      </c>
      <c r="O36" t="s">
        <v>157</v>
      </c>
      <c r="P36" t="s">
        <v>157</v>
      </c>
      <c r="Q36">
        <v>1</v>
      </c>
      <c r="W36">
        <v>0</v>
      </c>
      <c r="X36">
        <v>-1614242126</v>
      </c>
      <c r="Y36">
        <v>40.1</v>
      </c>
      <c r="AA36">
        <v>54.34</v>
      </c>
      <c r="AB36">
        <v>0</v>
      </c>
      <c r="AC36">
        <v>0</v>
      </c>
      <c r="AD36">
        <v>0</v>
      </c>
      <c r="AE36">
        <v>7.03</v>
      </c>
      <c r="AF36">
        <v>0</v>
      </c>
      <c r="AG36">
        <v>0</v>
      </c>
      <c r="AH36">
        <v>0</v>
      </c>
      <c r="AI36">
        <v>7.73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40.1</v>
      </c>
      <c r="AU36" t="s">
        <v>3</v>
      </c>
      <c r="AV36">
        <v>0</v>
      </c>
      <c r="AW36">
        <v>2</v>
      </c>
      <c r="AX36">
        <v>96555119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Y36*Source!I78</f>
        <v>26.145200000000003</v>
      </c>
      <c r="CY36">
        <f t="shared" si="2"/>
        <v>54.34</v>
      </c>
      <c r="CZ36">
        <f t="shared" si="3"/>
        <v>7.03</v>
      </c>
      <c r="DA36">
        <f t="shared" si="4"/>
        <v>7.73</v>
      </c>
      <c r="DB36">
        <f t="shared" si="5"/>
        <v>281.89999999999998</v>
      </c>
      <c r="DC36">
        <f t="shared" si="6"/>
        <v>0</v>
      </c>
    </row>
    <row r="37" spans="1:107" x14ac:dyDescent="0.2">
      <c r="A37">
        <f>ROW(Source!A78)</f>
        <v>78</v>
      </c>
      <c r="B37">
        <v>96554872</v>
      </c>
      <c r="C37">
        <v>96555111</v>
      </c>
      <c r="D37">
        <v>94426760</v>
      </c>
      <c r="E37">
        <v>1</v>
      </c>
      <c r="F37">
        <v>1</v>
      </c>
      <c r="G37">
        <v>1</v>
      </c>
      <c r="H37">
        <v>3</v>
      </c>
      <c r="I37" t="s">
        <v>338</v>
      </c>
      <c r="J37" t="s">
        <v>339</v>
      </c>
      <c r="K37" t="s">
        <v>340</v>
      </c>
      <c r="L37">
        <v>1425</v>
      </c>
      <c r="N37">
        <v>1013</v>
      </c>
      <c r="O37" t="s">
        <v>36</v>
      </c>
      <c r="P37" t="s">
        <v>36</v>
      </c>
      <c r="Q37">
        <v>1</v>
      </c>
      <c r="W37">
        <v>0</v>
      </c>
      <c r="X37">
        <v>151922765</v>
      </c>
      <c r="Y37">
        <v>8</v>
      </c>
      <c r="AA37">
        <v>386.5</v>
      </c>
      <c r="AB37">
        <v>0</v>
      </c>
      <c r="AC37">
        <v>0</v>
      </c>
      <c r="AD37">
        <v>0</v>
      </c>
      <c r="AE37">
        <v>50</v>
      </c>
      <c r="AF37">
        <v>0</v>
      </c>
      <c r="AG37">
        <v>0</v>
      </c>
      <c r="AH37">
        <v>0</v>
      </c>
      <c r="AI37">
        <v>7.73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8</v>
      </c>
      <c r="AU37" t="s">
        <v>3</v>
      </c>
      <c r="AV37">
        <v>0</v>
      </c>
      <c r="AW37">
        <v>2</v>
      </c>
      <c r="AX37">
        <v>96555121</v>
      </c>
      <c r="AY37">
        <v>1</v>
      </c>
      <c r="AZ37">
        <v>0</v>
      </c>
      <c r="BA37">
        <v>38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Y37*Source!I78</f>
        <v>5.2160000000000002</v>
      </c>
      <c r="CY37">
        <f t="shared" si="2"/>
        <v>386.5</v>
      </c>
      <c r="CZ37">
        <f t="shared" si="3"/>
        <v>50</v>
      </c>
      <c r="DA37">
        <f t="shared" si="4"/>
        <v>7.73</v>
      </c>
      <c r="DB37">
        <f t="shared" si="5"/>
        <v>400</v>
      </c>
      <c r="DC37">
        <f t="shared" si="6"/>
        <v>0</v>
      </c>
    </row>
    <row r="38" spans="1:107" x14ac:dyDescent="0.2">
      <c r="A38">
        <f>ROW(Source!A78)</f>
        <v>78</v>
      </c>
      <c r="B38">
        <v>96554872</v>
      </c>
      <c r="C38">
        <v>96555111</v>
      </c>
      <c r="D38">
        <v>94433277</v>
      </c>
      <c r="E38">
        <v>1</v>
      </c>
      <c r="F38">
        <v>1</v>
      </c>
      <c r="G38">
        <v>1</v>
      </c>
      <c r="H38">
        <v>3</v>
      </c>
      <c r="I38" t="s">
        <v>341</v>
      </c>
      <c r="J38" t="s">
        <v>342</v>
      </c>
      <c r="K38" t="s">
        <v>343</v>
      </c>
      <c r="L38">
        <v>1296</v>
      </c>
      <c r="N38">
        <v>1002</v>
      </c>
      <c r="O38" t="s">
        <v>344</v>
      </c>
      <c r="P38" t="s">
        <v>344</v>
      </c>
      <c r="Q38">
        <v>1</v>
      </c>
      <c r="W38">
        <v>0</v>
      </c>
      <c r="X38">
        <v>957926051</v>
      </c>
      <c r="Y38">
        <v>53.25</v>
      </c>
      <c r="AA38">
        <v>362.23</v>
      </c>
      <c r="AB38">
        <v>0</v>
      </c>
      <c r="AC38">
        <v>0</v>
      </c>
      <c r="AD38">
        <v>0</v>
      </c>
      <c r="AE38">
        <v>46.86</v>
      </c>
      <c r="AF38">
        <v>0</v>
      </c>
      <c r="AG38">
        <v>0</v>
      </c>
      <c r="AH38">
        <v>0</v>
      </c>
      <c r="AI38">
        <v>7.73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53.25</v>
      </c>
      <c r="AU38" t="s">
        <v>3</v>
      </c>
      <c r="AV38">
        <v>0</v>
      </c>
      <c r="AW38">
        <v>2</v>
      </c>
      <c r="AX38">
        <v>96555122</v>
      </c>
      <c r="AY38">
        <v>1</v>
      </c>
      <c r="AZ38">
        <v>0</v>
      </c>
      <c r="BA38">
        <v>39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Y38*Source!I78</f>
        <v>34.719000000000001</v>
      </c>
      <c r="CY38">
        <f t="shared" si="2"/>
        <v>362.23</v>
      </c>
      <c r="CZ38">
        <f t="shared" si="3"/>
        <v>46.86</v>
      </c>
      <c r="DA38">
        <f t="shared" si="4"/>
        <v>7.73</v>
      </c>
      <c r="DB38">
        <f t="shared" si="5"/>
        <v>2495.3000000000002</v>
      </c>
      <c r="DC38">
        <f t="shared" si="6"/>
        <v>0</v>
      </c>
    </row>
    <row r="39" spans="1:107" x14ac:dyDescent="0.2">
      <c r="A39">
        <f>ROW(Source!A81)</f>
        <v>81</v>
      </c>
      <c r="B39">
        <v>96554872</v>
      </c>
      <c r="C39">
        <v>96555300</v>
      </c>
      <c r="D39">
        <v>94389427</v>
      </c>
      <c r="E39">
        <v>56</v>
      </c>
      <c r="F39">
        <v>1</v>
      </c>
      <c r="G39">
        <v>1</v>
      </c>
      <c r="H39">
        <v>1</v>
      </c>
      <c r="I39" t="s">
        <v>312</v>
      </c>
      <c r="J39" t="s">
        <v>3</v>
      </c>
      <c r="K39" t="s">
        <v>313</v>
      </c>
      <c r="L39">
        <v>1191</v>
      </c>
      <c r="N39">
        <v>1013</v>
      </c>
      <c r="O39" t="s">
        <v>295</v>
      </c>
      <c r="P39" t="s">
        <v>295</v>
      </c>
      <c r="Q39">
        <v>1</v>
      </c>
      <c r="W39">
        <v>0</v>
      </c>
      <c r="X39">
        <v>-400197608</v>
      </c>
      <c r="Y39">
        <v>22.551499999999997</v>
      </c>
      <c r="AA39">
        <v>0</v>
      </c>
      <c r="AB39">
        <v>0</v>
      </c>
      <c r="AC39">
        <v>0</v>
      </c>
      <c r="AD39">
        <v>65.94</v>
      </c>
      <c r="AE39">
        <v>0</v>
      </c>
      <c r="AF39">
        <v>0</v>
      </c>
      <c r="AG39">
        <v>0</v>
      </c>
      <c r="AH39">
        <v>8.5299999999999994</v>
      </c>
      <c r="AI39">
        <v>1</v>
      </c>
      <c r="AJ39">
        <v>1</v>
      </c>
      <c r="AK39">
        <v>1</v>
      </c>
      <c r="AL39">
        <v>7.73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19.61</v>
      </c>
      <c r="AU39" t="s">
        <v>125</v>
      </c>
      <c r="AV39">
        <v>1</v>
      </c>
      <c r="AW39">
        <v>2</v>
      </c>
      <c r="AX39">
        <v>96555311</v>
      </c>
      <c r="AY39">
        <v>1</v>
      </c>
      <c r="AZ39">
        <v>0</v>
      </c>
      <c r="BA39">
        <v>40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Y39*Source!I81</f>
        <v>0.67654499999999984</v>
      </c>
      <c r="CY39">
        <f>AD39</f>
        <v>65.94</v>
      </c>
      <c r="CZ39">
        <f>AH39</f>
        <v>8.5299999999999994</v>
      </c>
      <c r="DA39">
        <f>AL39</f>
        <v>7.73</v>
      </c>
      <c r="DB39">
        <f>ROUND((ROUND(AT39*CZ39,2)*1.15),2)</f>
        <v>192.36</v>
      </c>
      <c r="DC39">
        <f>ROUND((ROUND(AT39*AG39,2)*1.15),2)</f>
        <v>0</v>
      </c>
    </row>
    <row r="40" spans="1:107" x14ac:dyDescent="0.2">
      <c r="A40">
        <f>ROW(Source!A81)</f>
        <v>81</v>
      </c>
      <c r="B40">
        <v>96554872</v>
      </c>
      <c r="C40">
        <v>96555300</v>
      </c>
      <c r="D40">
        <v>94389608</v>
      </c>
      <c r="E40">
        <v>56</v>
      </c>
      <c r="F40">
        <v>1</v>
      </c>
      <c r="G40">
        <v>1</v>
      </c>
      <c r="H40">
        <v>1</v>
      </c>
      <c r="I40" t="s">
        <v>296</v>
      </c>
      <c r="J40" t="s">
        <v>3</v>
      </c>
      <c r="K40" t="s">
        <v>297</v>
      </c>
      <c r="L40">
        <v>1191</v>
      </c>
      <c r="N40">
        <v>1013</v>
      </c>
      <c r="O40" t="s">
        <v>295</v>
      </c>
      <c r="P40" t="s">
        <v>295</v>
      </c>
      <c r="Q40">
        <v>1</v>
      </c>
      <c r="W40">
        <v>0</v>
      </c>
      <c r="X40">
        <v>-1417349443</v>
      </c>
      <c r="Y40">
        <v>0.4375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7.73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0.35</v>
      </c>
      <c r="AU40" t="s">
        <v>124</v>
      </c>
      <c r="AV40">
        <v>2</v>
      </c>
      <c r="AW40">
        <v>2</v>
      </c>
      <c r="AX40">
        <v>96555312</v>
      </c>
      <c r="AY40">
        <v>1</v>
      </c>
      <c r="AZ40">
        <v>0</v>
      </c>
      <c r="BA40">
        <v>41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Y40*Source!I81</f>
        <v>1.3125E-2</v>
      </c>
      <c r="CY40">
        <f>AD40</f>
        <v>0</v>
      </c>
      <c r="CZ40">
        <f>AH40</f>
        <v>0</v>
      </c>
      <c r="DA40">
        <f>AL40</f>
        <v>1</v>
      </c>
      <c r="DB40">
        <f>ROUND((ROUND(AT40*CZ40,2)*1.25),2)</f>
        <v>0</v>
      </c>
      <c r="DC40">
        <f>ROUND((ROUND(AT40*AG40,2)*1.25),2)</f>
        <v>0</v>
      </c>
    </row>
    <row r="41" spans="1:107" x14ac:dyDescent="0.2">
      <c r="A41">
        <f>ROW(Source!A81)</f>
        <v>81</v>
      </c>
      <c r="B41">
        <v>96554872</v>
      </c>
      <c r="C41">
        <v>96555300</v>
      </c>
      <c r="D41">
        <v>94550530</v>
      </c>
      <c r="E41">
        <v>1</v>
      </c>
      <c r="F41">
        <v>1</v>
      </c>
      <c r="G41">
        <v>1</v>
      </c>
      <c r="H41">
        <v>2</v>
      </c>
      <c r="I41" t="s">
        <v>298</v>
      </c>
      <c r="J41" t="s">
        <v>299</v>
      </c>
      <c r="K41" t="s">
        <v>300</v>
      </c>
      <c r="L41">
        <v>1368</v>
      </c>
      <c r="N41">
        <v>1011</v>
      </c>
      <c r="O41" t="s">
        <v>301</v>
      </c>
      <c r="P41" t="s">
        <v>301</v>
      </c>
      <c r="Q41">
        <v>1</v>
      </c>
      <c r="W41">
        <v>0</v>
      </c>
      <c r="X41">
        <v>10009565</v>
      </c>
      <c r="Y41">
        <v>8.7500000000000008E-2</v>
      </c>
      <c r="AA41">
        <v>0</v>
      </c>
      <c r="AB41">
        <v>241.64</v>
      </c>
      <c r="AC41">
        <v>13.5</v>
      </c>
      <c r="AD41">
        <v>0</v>
      </c>
      <c r="AE41">
        <v>0</v>
      </c>
      <c r="AF41">
        <v>31.26</v>
      </c>
      <c r="AG41">
        <v>13.5</v>
      </c>
      <c r="AH41">
        <v>0</v>
      </c>
      <c r="AI41">
        <v>1</v>
      </c>
      <c r="AJ41">
        <v>7.73</v>
      </c>
      <c r="AK41">
        <v>1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7.0000000000000007E-2</v>
      </c>
      <c r="AU41" t="s">
        <v>124</v>
      </c>
      <c r="AV41">
        <v>0</v>
      </c>
      <c r="AW41">
        <v>2</v>
      </c>
      <c r="AX41">
        <v>96555313</v>
      </c>
      <c r="AY41">
        <v>1</v>
      </c>
      <c r="AZ41">
        <v>0</v>
      </c>
      <c r="BA41">
        <v>42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Y41*Source!I81</f>
        <v>2.6250000000000002E-3</v>
      </c>
      <c r="CY41">
        <f>AB41</f>
        <v>241.64</v>
      </c>
      <c r="CZ41">
        <f>AF41</f>
        <v>31.26</v>
      </c>
      <c r="DA41">
        <f>AJ41</f>
        <v>7.73</v>
      </c>
      <c r="DB41">
        <f>ROUND((ROUND(AT41*CZ41,2)*1.25),2)</f>
        <v>2.74</v>
      </c>
      <c r="DC41">
        <f>ROUND((ROUND(AT41*AG41,2)*1.25),2)</f>
        <v>1.19</v>
      </c>
    </row>
    <row r="42" spans="1:107" x14ac:dyDescent="0.2">
      <c r="A42">
        <f>ROW(Source!A81)</f>
        <v>81</v>
      </c>
      <c r="B42">
        <v>96554872</v>
      </c>
      <c r="C42">
        <v>96555300</v>
      </c>
      <c r="D42">
        <v>94551263</v>
      </c>
      <c r="E42">
        <v>1</v>
      </c>
      <c r="F42">
        <v>1</v>
      </c>
      <c r="G42">
        <v>1</v>
      </c>
      <c r="H42">
        <v>2</v>
      </c>
      <c r="I42" t="s">
        <v>314</v>
      </c>
      <c r="J42" t="s">
        <v>315</v>
      </c>
      <c r="K42" t="s">
        <v>316</v>
      </c>
      <c r="L42">
        <v>1368</v>
      </c>
      <c r="N42">
        <v>1011</v>
      </c>
      <c r="O42" t="s">
        <v>301</v>
      </c>
      <c r="P42" t="s">
        <v>301</v>
      </c>
      <c r="Q42">
        <v>1</v>
      </c>
      <c r="W42">
        <v>0</v>
      </c>
      <c r="X42">
        <v>-841254546</v>
      </c>
      <c r="Y42">
        <v>0.35000000000000003</v>
      </c>
      <c r="AA42">
        <v>0</v>
      </c>
      <c r="AB42">
        <v>507.94</v>
      </c>
      <c r="AC42">
        <v>11.6</v>
      </c>
      <c r="AD42">
        <v>0</v>
      </c>
      <c r="AE42">
        <v>0</v>
      </c>
      <c r="AF42">
        <v>65.709999999999994</v>
      </c>
      <c r="AG42">
        <v>11.6</v>
      </c>
      <c r="AH42">
        <v>0</v>
      </c>
      <c r="AI42">
        <v>1</v>
      </c>
      <c r="AJ42">
        <v>7.73</v>
      </c>
      <c r="AK42">
        <v>1</v>
      </c>
      <c r="AL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0.28000000000000003</v>
      </c>
      <c r="AU42" t="s">
        <v>124</v>
      </c>
      <c r="AV42">
        <v>0</v>
      </c>
      <c r="AW42">
        <v>2</v>
      </c>
      <c r="AX42">
        <v>96555314</v>
      </c>
      <c r="AY42">
        <v>1</v>
      </c>
      <c r="AZ42">
        <v>0</v>
      </c>
      <c r="BA42">
        <v>43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Y42*Source!I81</f>
        <v>1.0500000000000001E-2</v>
      </c>
      <c r="CY42">
        <f>AB42</f>
        <v>507.94</v>
      </c>
      <c r="CZ42">
        <f>AF42</f>
        <v>65.709999999999994</v>
      </c>
      <c r="DA42">
        <f>AJ42</f>
        <v>7.73</v>
      </c>
      <c r="DB42">
        <f>ROUND((ROUND(AT42*CZ42,2)*1.25),2)</f>
        <v>23</v>
      </c>
      <c r="DC42">
        <f>ROUND((ROUND(AT42*AG42,2)*1.25),2)</f>
        <v>4.0599999999999996</v>
      </c>
    </row>
    <row r="43" spans="1:107" x14ac:dyDescent="0.2">
      <c r="A43">
        <f>ROW(Source!A81)</f>
        <v>81</v>
      </c>
      <c r="B43">
        <v>96554872</v>
      </c>
      <c r="C43">
        <v>96555300</v>
      </c>
      <c r="D43">
        <v>94426584</v>
      </c>
      <c r="E43">
        <v>1</v>
      </c>
      <c r="F43">
        <v>1</v>
      </c>
      <c r="G43">
        <v>1</v>
      </c>
      <c r="H43">
        <v>3</v>
      </c>
      <c r="I43" t="s">
        <v>150</v>
      </c>
      <c r="J43" t="s">
        <v>153</v>
      </c>
      <c r="K43" t="s">
        <v>151</v>
      </c>
      <c r="L43">
        <v>1301</v>
      </c>
      <c r="N43">
        <v>1003</v>
      </c>
      <c r="O43" t="s">
        <v>152</v>
      </c>
      <c r="P43" t="s">
        <v>152</v>
      </c>
      <c r="Q43">
        <v>1</v>
      </c>
      <c r="W43">
        <v>0</v>
      </c>
      <c r="X43">
        <v>-566106271</v>
      </c>
      <c r="Y43">
        <v>100</v>
      </c>
      <c r="AA43">
        <v>579.04999999999995</v>
      </c>
      <c r="AB43">
        <v>0</v>
      </c>
      <c r="AC43">
        <v>0</v>
      </c>
      <c r="AD43">
        <v>0</v>
      </c>
      <c r="AE43">
        <v>74.91</v>
      </c>
      <c r="AF43">
        <v>0</v>
      </c>
      <c r="AG43">
        <v>0</v>
      </c>
      <c r="AH43">
        <v>0</v>
      </c>
      <c r="AI43">
        <v>7.73</v>
      </c>
      <c r="AJ43">
        <v>1</v>
      </c>
      <c r="AK43">
        <v>1</v>
      </c>
      <c r="AL43">
        <v>1</v>
      </c>
      <c r="AN43">
        <v>1</v>
      </c>
      <c r="AO43">
        <v>0</v>
      </c>
      <c r="AP43">
        <v>0</v>
      </c>
      <c r="AQ43">
        <v>0</v>
      </c>
      <c r="AR43">
        <v>0</v>
      </c>
      <c r="AS43" t="s">
        <v>3</v>
      </c>
      <c r="AT43">
        <v>100</v>
      </c>
      <c r="AU43" t="s">
        <v>3</v>
      </c>
      <c r="AV43">
        <v>0</v>
      </c>
      <c r="AW43">
        <v>1</v>
      </c>
      <c r="AX43">
        <v>-1</v>
      </c>
      <c r="AY43">
        <v>0</v>
      </c>
      <c r="AZ43">
        <v>0</v>
      </c>
      <c r="BA43" t="s">
        <v>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Y43*Source!I81</f>
        <v>3</v>
      </c>
      <c r="CY43">
        <f>AA43</f>
        <v>579.04999999999995</v>
      </c>
      <c r="CZ43">
        <f>AE43</f>
        <v>74.91</v>
      </c>
      <c r="DA43">
        <f>AI43</f>
        <v>7.73</v>
      </c>
      <c r="DB43">
        <f>ROUND(ROUND(AT43*CZ43,2),2)</f>
        <v>7491</v>
      </c>
      <c r="DC43">
        <f>ROUND(ROUND(AT43*AG43,2),2)</f>
        <v>0</v>
      </c>
    </row>
    <row r="44" spans="1:107" x14ac:dyDescent="0.2">
      <c r="A44">
        <f>ROW(Source!A81)</f>
        <v>81</v>
      </c>
      <c r="B44">
        <v>96554872</v>
      </c>
      <c r="C44">
        <v>96555300</v>
      </c>
      <c r="D44">
        <v>94426757</v>
      </c>
      <c r="E44">
        <v>1</v>
      </c>
      <c r="F44">
        <v>1</v>
      </c>
      <c r="G44">
        <v>1</v>
      </c>
      <c r="H44">
        <v>3</v>
      </c>
      <c r="I44" t="s">
        <v>155</v>
      </c>
      <c r="J44" t="s">
        <v>158</v>
      </c>
      <c r="K44" t="s">
        <v>156</v>
      </c>
      <c r="L44">
        <v>1455</v>
      </c>
      <c r="N44">
        <v>1013</v>
      </c>
      <c r="O44" t="s">
        <v>157</v>
      </c>
      <c r="P44" t="s">
        <v>157</v>
      </c>
      <c r="Q44">
        <v>1</v>
      </c>
      <c r="W44">
        <v>0</v>
      </c>
      <c r="X44">
        <v>-1253979766</v>
      </c>
      <c r="Y44">
        <v>6.6666670000000003</v>
      </c>
      <c r="AA44">
        <v>24.35</v>
      </c>
      <c r="AB44">
        <v>0</v>
      </c>
      <c r="AC44">
        <v>0</v>
      </c>
      <c r="AD44">
        <v>0</v>
      </c>
      <c r="AE44">
        <v>3.15</v>
      </c>
      <c r="AF44">
        <v>0</v>
      </c>
      <c r="AG44">
        <v>0</v>
      </c>
      <c r="AH44">
        <v>0</v>
      </c>
      <c r="AI44">
        <v>7.73</v>
      </c>
      <c r="AJ44">
        <v>1</v>
      </c>
      <c r="AK44">
        <v>1</v>
      </c>
      <c r="AL44">
        <v>1</v>
      </c>
      <c r="AN44">
        <v>1</v>
      </c>
      <c r="AO44">
        <v>0</v>
      </c>
      <c r="AP44">
        <v>1</v>
      </c>
      <c r="AQ44">
        <v>0</v>
      </c>
      <c r="AR44">
        <v>0</v>
      </c>
      <c r="AS44" t="s">
        <v>3</v>
      </c>
      <c r="AT44">
        <v>6.6666670000000003</v>
      </c>
      <c r="AU44" t="s">
        <v>3</v>
      </c>
      <c r="AV44">
        <v>0</v>
      </c>
      <c r="AW44">
        <v>2</v>
      </c>
      <c r="AX44">
        <v>96555316</v>
      </c>
      <c r="AY44">
        <v>1</v>
      </c>
      <c r="AZ44">
        <v>6144</v>
      </c>
      <c r="BA44">
        <v>45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Y44*Source!I81</f>
        <v>0.20000001000000001</v>
      </c>
      <c r="CY44">
        <f>AA44</f>
        <v>24.35</v>
      </c>
      <c r="CZ44">
        <f>AE44</f>
        <v>3.15</v>
      </c>
      <c r="DA44">
        <f>AI44</f>
        <v>7.73</v>
      </c>
      <c r="DB44">
        <f>ROUND(ROUND(AT44*CZ44,2),2)</f>
        <v>21</v>
      </c>
      <c r="DC44">
        <f>ROUND(ROUND(AT44*AG44,2),2)</f>
        <v>0</v>
      </c>
    </row>
    <row r="45" spans="1:107" x14ac:dyDescent="0.2">
      <c r="A45">
        <f>ROW(Source!A81)</f>
        <v>81</v>
      </c>
      <c r="B45">
        <v>96554872</v>
      </c>
      <c r="C45">
        <v>96555300</v>
      </c>
      <c r="D45">
        <v>94426760</v>
      </c>
      <c r="E45">
        <v>1</v>
      </c>
      <c r="F45">
        <v>1</v>
      </c>
      <c r="G45">
        <v>1</v>
      </c>
      <c r="H45">
        <v>3</v>
      </c>
      <c r="I45" t="s">
        <v>338</v>
      </c>
      <c r="J45" t="s">
        <v>339</v>
      </c>
      <c r="K45" t="s">
        <v>340</v>
      </c>
      <c r="L45">
        <v>1425</v>
      </c>
      <c r="N45">
        <v>1013</v>
      </c>
      <c r="O45" t="s">
        <v>36</v>
      </c>
      <c r="P45" t="s">
        <v>36</v>
      </c>
      <c r="Q45">
        <v>1</v>
      </c>
      <c r="W45">
        <v>0</v>
      </c>
      <c r="X45">
        <v>151922765</v>
      </c>
      <c r="Y45">
        <v>4</v>
      </c>
      <c r="AA45">
        <v>386.5</v>
      </c>
      <c r="AB45">
        <v>0</v>
      </c>
      <c r="AC45">
        <v>0</v>
      </c>
      <c r="AD45">
        <v>0</v>
      </c>
      <c r="AE45">
        <v>50</v>
      </c>
      <c r="AF45">
        <v>0</v>
      </c>
      <c r="AG45">
        <v>0</v>
      </c>
      <c r="AH45">
        <v>0</v>
      </c>
      <c r="AI45">
        <v>7.73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4</v>
      </c>
      <c r="AU45" t="s">
        <v>3</v>
      </c>
      <c r="AV45">
        <v>0</v>
      </c>
      <c r="AW45">
        <v>2</v>
      </c>
      <c r="AX45">
        <v>96555317</v>
      </c>
      <c r="AY45">
        <v>1</v>
      </c>
      <c r="AZ45">
        <v>0</v>
      </c>
      <c r="BA45">
        <v>46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Y45*Source!I81</f>
        <v>0.12</v>
      </c>
      <c r="CY45">
        <f>AA45</f>
        <v>386.5</v>
      </c>
      <c r="CZ45">
        <f>AE45</f>
        <v>50</v>
      </c>
      <c r="DA45">
        <f>AI45</f>
        <v>7.73</v>
      </c>
      <c r="DB45">
        <f>ROUND(ROUND(AT45*CZ45,2),2)</f>
        <v>200</v>
      </c>
      <c r="DC45">
        <f>ROUND(ROUND(AT45*AG45,2),2)</f>
        <v>0</v>
      </c>
    </row>
    <row r="46" spans="1:107" x14ac:dyDescent="0.2">
      <c r="A46">
        <f>ROW(Source!A81)</f>
        <v>81</v>
      </c>
      <c r="B46">
        <v>96554872</v>
      </c>
      <c r="C46">
        <v>96555300</v>
      </c>
      <c r="D46">
        <v>94433277</v>
      </c>
      <c r="E46">
        <v>1</v>
      </c>
      <c r="F46">
        <v>1</v>
      </c>
      <c r="G46">
        <v>1</v>
      </c>
      <c r="H46">
        <v>3</v>
      </c>
      <c r="I46" t="s">
        <v>341</v>
      </c>
      <c r="J46" t="s">
        <v>342</v>
      </c>
      <c r="K46" t="s">
        <v>343</v>
      </c>
      <c r="L46">
        <v>1296</v>
      </c>
      <c r="N46">
        <v>1002</v>
      </c>
      <c r="O46" t="s">
        <v>344</v>
      </c>
      <c r="P46" t="s">
        <v>344</v>
      </c>
      <c r="Q46">
        <v>1</v>
      </c>
      <c r="W46">
        <v>0</v>
      </c>
      <c r="X46">
        <v>957926051</v>
      </c>
      <c r="Y46">
        <v>68.03</v>
      </c>
      <c r="AA46">
        <v>362.23</v>
      </c>
      <c r="AB46">
        <v>0</v>
      </c>
      <c r="AC46">
        <v>0</v>
      </c>
      <c r="AD46">
        <v>0</v>
      </c>
      <c r="AE46">
        <v>46.86</v>
      </c>
      <c r="AF46">
        <v>0</v>
      </c>
      <c r="AG46">
        <v>0</v>
      </c>
      <c r="AH46">
        <v>0</v>
      </c>
      <c r="AI46">
        <v>7.73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68.03</v>
      </c>
      <c r="AU46" t="s">
        <v>3</v>
      </c>
      <c r="AV46">
        <v>0</v>
      </c>
      <c r="AW46">
        <v>2</v>
      </c>
      <c r="AX46">
        <v>96555318</v>
      </c>
      <c r="AY46">
        <v>1</v>
      </c>
      <c r="AZ46">
        <v>0</v>
      </c>
      <c r="BA46">
        <v>47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Y46*Source!I81</f>
        <v>2.0409000000000002</v>
      </c>
      <c r="CY46">
        <f>AA46</f>
        <v>362.23</v>
      </c>
      <c r="CZ46">
        <f>AE46</f>
        <v>46.86</v>
      </c>
      <c r="DA46">
        <f>AI46</f>
        <v>7.73</v>
      </c>
      <c r="DB46">
        <f>ROUND(ROUND(AT46*CZ46,2),2)</f>
        <v>3187.89</v>
      </c>
      <c r="DC46">
        <f>ROUND(ROUND(AT46*AG46,2),2)</f>
        <v>0</v>
      </c>
    </row>
    <row r="47" spans="1:107" x14ac:dyDescent="0.2">
      <c r="A47">
        <f>ROW(Source!A84)</f>
        <v>84</v>
      </c>
      <c r="B47">
        <v>96554872</v>
      </c>
      <c r="C47">
        <v>96555323</v>
      </c>
      <c r="D47">
        <v>94389449</v>
      </c>
      <c r="E47">
        <v>56</v>
      </c>
      <c r="F47">
        <v>1</v>
      </c>
      <c r="G47">
        <v>1</v>
      </c>
      <c r="H47">
        <v>1</v>
      </c>
      <c r="I47" t="s">
        <v>345</v>
      </c>
      <c r="J47" t="s">
        <v>3</v>
      </c>
      <c r="K47" t="s">
        <v>346</v>
      </c>
      <c r="L47">
        <v>1191</v>
      </c>
      <c r="N47">
        <v>1013</v>
      </c>
      <c r="O47" t="s">
        <v>295</v>
      </c>
      <c r="P47" t="s">
        <v>295</v>
      </c>
      <c r="Q47">
        <v>1</v>
      </c>
      <c r="W47">
        <v>0</v>
      </c>
      <c r="X47">
        <v>-1027537862</v>
      </c>
      <c r="Y47">
        <v>191.44049999999999</v>
      </c>
      <c r="AA47">
        <v>0</v>
      </c>
      <c r="AB47">
        <v>0</v>
      </c>
      <c r="AC47">
        <v>0</v>
      </c>
      <c r="AD47">
        <v>70.959999999999994</v>
      </c>
      <c r="AE47">
        <v>0</v>
      </c>
      <c r="AF47">
        <v>0</v>
      </c>
      <c r="AG47">
        <v>0</v>
      </c>
      <c r="AH47">
        <v>9.18</v>
      </c>
      <c r="AI47">
        <v>1</v>
      </c>
      <c r="AJ47">
        <v>1</v>
      </c>
      <c r="AK47">
        <v>1</v>
      </c>
      <c r="AL47">
        <v>7.73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166.47</v>
      </c>
      <c r="AU47" t="s">
        <v>125</v>
      </c>
      <c r="AV47">
        <v>1</v>
      </c>
      <c r="AW47">
        <v>2</v>
      </c>
      <c r="AX47">
        <v>96555324</v>
      </c>
      <c r="AY47">
        <v>1</v>
      </c>
      <c r="AZ47">
        <v>0</v>
      </c>
      <c r="BA47">
        <v>48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Y47*Source!I84</f>
        <v>15.1620876</v>
      </c>
      <c r="CY47">
        <f>AD47</f>
        <v>70.959999999999994</v>
      </c>
      <c r="CZ47">
        <f>AH47</f>
        <v>9.18</v>
      </c>
      <c r="DA47">
        <f>AL47</f>
        <v>7.73</v>
      </c>
      <c r="DB47">
        <f>ROUND((ROUND(AT47*CZ47,2)*1.15),2)</f>
        <v>1757.42</v>
      </c>
      <c r="DC47">
        <f>ROUND((ROUND(AT47*AG47,2)*1.15),2)</f>
        <v>0</v>
      </c>
    </row>
    <row r="48" spans="1:107" x14ac:dyDescent="0.2">
      <c r="A48">
        <f>ROW(Source!A84)</f>
        <v>84</v>
      </c>
      <c r="B48">
        <v>96554872</v>
      </c>
      <c r="C48">
        <v>96555323</v>
      </c>
      <c r="D48">
        <v>94389608</v>
      </c>
      <c r="E48">
        <v>56</v>
      </c>
      <c r="F48">
        <v>1</v>
      </c>
      <c r="G48">
        <v>1</v>
      </c>
      <c r="H48">
        <v>1</v>
      </c>
      <c r="I48" t="s">
        <v>296</v>
      </c>
      <c r="J48" t="s">
        <v>3</v>
      </c>
      <c r="K48" t="s">
        <v>297</v>
      </c>
      <c r="L48">
        <v>1191</v>
      </c>
      <c r="N48">
        <v>1013</v>
      </c>
      <c r="O48" t="s">
        <v>295</v>
      </c>
      <c r="P48" t="s">
        <v>295</v>
      </c>
      <c r="Q48">
        <v>1</v>
      </c>
      <c r="W48">
        <v>0</v>
      </c>
      <c r="X48">
        <v>-1417349443</v>
      </c>
      <c r="Y48">
        <v>0.72499999999999998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7.73</v>
      </c>
      <c r="AL48">
        <v>1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0.57999999999999996</v>
      </c>
      <c r="AU48" t="s">
        <v>124</v>
      </c>
      <c r="AV48">
        <v>2</v>
      </c>
      <c r="AW48">
        <v>2</v>
      </c>
      <c r="AX48">
        <v>96555325</v>
      </c>
      <c r="AY48">
        <v>1</v>
      </c>
      <c r="AZ48">
        <v>0</v>
      </c>
      <c r="BA48">
        <v>49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Y48*Source!I84</f>
        <v>5.7420000000000006E-2</v>
      </c>
      <c r="CY48">
        <f>AD48</f>
        <v>0</v>
      </c>
      <c r="CZ48">
        <f>AH48</f>
        <v>0</v>
      </c>
      <c r="DA48">
        <f>AL48</f>
        <v>1</v>
      </c>
      <c r="DB48">
        <f>ROUND((ROUND(AT48*CZ48,2)*1.25),2)</f>
        <v>0</v>
      </c>
      <c r="DC48">
        <f>ROUND((ROUND(AT48*AG48,2)*1.25),2)</f>
        <v>0</v>
      </c>
    </row>
    <row r="49" spans="1:107" x14ac:dyDescent="0.2">
      <c r="A49">
        <f>ROW(Source!A84)</f>
        <v>84</v>
      </c>
      <c r="B49">
        <v>96554872</v>
      </c>
      <c r="C49">
        <v>96555323</v>
      </c>
      <c r="D49">
        <v>94550530</v>
      </c>
      <c r="E49">
        <v>1</v>
      </c>
      <c r="F49">
        <v>1</v>
      </c>
      <c r="G49">
        <v>1</v>
      </c>
      <c r="H49">
        <v>2</v>
      </c>
      <c r="I49" t="s">
        <v>298</v>
      </c>
      <c r="J49" t="s">
        <v>299</v>
      </c>
      <c r="K49" t="s">
        <v>300</v>
      </c>
      <c r="L49">
        <v>1368</v>
      </c>
      <c r="N49">
        <v>1011</v>
      </c>
      <c r="O49" t="s">
        <v>301</v>
      </c>
      <c r="P49" t="s">
        <v>301</v>
      </c>
      <c r="Q49">
        <v>1</v>
      </c>
      <c r="W49">
        <v>0</v>
      </c>
      <c r="X49">
        <v>10009565</v>
      </c>
      <c r="Y49">
        <v>0.1</v>
      </c>
      <c r="AA49">
        <v>0</v>
      </c>
      <c r="AB49">
        <v>241.64</v>
      </c>
      <c r="AC49">
        <v>13.5</v>
      </c>
      <c r="AD49">
        <v>0</v>
      </c>
      <c r="AE49">
        <v>0</v>
      </c>
      <c r="AF49">
        <v>31.26</v>
      </c>
      <c r="AG49">
        <v>13.5</v>
      </c>
      <c r="AH49">
        <v>0</v>
      </c>
      <c r="AI49">
        <v>1</v>
      </c>
      <c r="AJ49">
        <v>7.73</v>
      </c>
      <c r="AK49">
        <v>1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0.08</v>
      </c>
      <c r="AU49" t="s">
        <v>124</v>
      </c>
      <c r="AV49">
        <v>0</v>
      </c>
      <c r="AW49">
        <v>2</v>
      </c>
      <c r="AX49">
        <v>96555326</v>
      </c>
      <c r="AY49">
        <v>1</v>
      </c>
      <c r="AZ49">
        <v>0</v>
      </c>
      <c r="BA49">
        <v>50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Y49*Source!I84</f>
        <v>7.9200000000000017E-3</v>
      </c>
      <c r="CY49">
        <f>AB49</f>
        <v>241.64</v>
      </c>
      <c r="CZ49">
        <f>AF49</f>
        <v>31.26</v>
      </c>
      <c r="DA49">
        <f>AJ49</f>
        <v>7.73</v>
      </c>
      <c r="DB49">
        <f>ROUND((ROUND(AT49*CZ49,2)*1.25),2)</f>
        <v>3.13</v>
      </c>
      <c r="DC49">
        <f>ROUND((ROUND(AT49*AG49,2)*1.25),2)</f>
        <v>1.35</v>
      </c>
    </row>
    <row r="50" spans="1:107" x14ac:dyDescent="0.2">
      <c r="A50">
        <f>ROW(Source!A84)</f>
        <v>84</v>
      </c>
      <c r="B50">
        <v>96554872</v>
      </c>
      <c r="C50">
        <v>96555323</v>
      </c>
      <c r="D50">
        <v>94551263</v>
      </c>
      <c r="E50">
        <v>1</v>
      </c>
      <c r="F50">
        <v>1</v>
      </c>
      <c r="G50">
        <v>1</v>
      </c>
      <c r="H50">
        <v>2</v>
      </c>
      <c r="I50" t="s">
        <v>314</v>
      </c>
      <c r="J50" t="s">
        <v>315</v>
      </c>
      <c r="K50" t="s">
        <v>316</v>
      </c>
      <c r="L50">
        <v>1368</v>
      </c>
      <c r="N50">
        <v>1011</v>
      </c>
      <c r="O50" t="s">
        <v>301</v>
      </c>
      <c r="P50" t="s">
        <v>301</v>
      </c>
      <c r="Q50">
        <v>1</v>
      </c>
      <c r="W50">
        <v>0</v>
      </c>
      <c r="X50">
        <v>-841254546</v>
      </c>
      <c r="Y50">
        <v>0.625</v>
      </c>
      <c r="AA50">
        <v>0</v>
      </c>
      <c r="AB50">
        <v>507.94</v>
      </c>
      <c r="AC50">
        <v>11.6</v>
      </c>
      <c r="AD50">
        <v>0</v>
      </c>
      <c r="AE50">
        <v>0</v>
      </c>
      <c r="AF50">
        <v>65.709999999999994</v>
      </c>
      <c r="AG50">
        <v>11.6</v>
      </c>
      <c r="AH50">
        <v>0</v>
      </c>
      <c r="AI50">
        <v>1</v>
      </c>
      <c r="AJ50">
        <v>7.73</v>
      </c>
      <c r="AK50">
        <v>1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0.5</v>
      </c>
      <c r="AU50" t="s">
        <v>124</v>
      </c>
      <c r="AV50">
        <v>0</v>
      </c>
      <c r="AW50">
        <v>2</v>
      </c>
      <c r="AX50">
        <v>96555327</v>
      </c>
      <c r="AY50">
        <v>1</v>
      </c>
      <c r="AZ50">
        <v>0</v>
      </c>
      <c r="BA50">
        <v>51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Y50*Source!I84</f>
        <v>4.9500000000000002E-2</v>
      </c>
      <c r="CY50">
        <f>AB50</f>
        <v>507.94</v>
      </c>
      <c r="CZ50">
        <f>AF50</f>
        <v>65.709999999999994</v>
      </c>
      <c r="DA50">
        <f>AJ50</f>
        <v>7.73</v>
      </c>
      <c r="DB50">
        <f>ROUND((ROUND(AT50*CZ50,2)*1.25),2)</f>
        <v>41.08</v>
      </c>
      <c r="DC50">
        <f>ROUND((ROUND(AT50*AG50,2)*1.25),2)</f>
        <v>7.25</v>
      </c>
    </row>
    <row r="51" spans="1:107" x14ac:dyDescent="0.2">
      <c r="A51">
        <f>ROW(Source!A84)</f>
        <v>84</v>
      </c>
      <c r="B51">
        <v>96554872</v>
      </c>
      <c r="C51">
        <v>96555323</v>
      </c>
      <c r="D51">
        <v>94404723</v>
      </c>
      <c r="E51">
        <v>1</v>
      </c>
      <c r="F51">
        <v>1</v>
      </c>
      <c r="G51">
        <v>1</v>
      </c>
      <c r="H51">
        <v>3</v>
      </c>
      <c r="I51" t="s">
        <v>347</v>
      </c>
      <c r="J51" t="s">
        <v>348</v>
      </c>
      <c r="K51" t="s">
        <v>349</v>
      </c>
      <c r="L51">
        <v>1346</v>
      </c>
      <c r="N51">
        <v>1009</v>
      </c>
      <c r="O51" t="s">
        <v>173</v>
      </c>
      <c r="P51" t="s">
        <v>173</v>
      </c>
      <c r="Q51">
        <v>1</v>
      </c>
      <c r="W51">
        <v>0</v>
      </c>
      <c r="X51">
        <v>1103561696</v>
      </c>
      <c r="Y51">
        <v>0.2</v>
      </c>
      <c r="AA51">
        <v>14.07</v>
      </c>
      <c r="AB51">
        <v>0</v>
      </c>
      <c r="AC51">
        <v>0</v>
      </c>
      <c r="AD51">
        <v>0</v>
      </c>
      <c r="AE51">
        <v>1.82</v>
      </c>
      <c r="AF51">
        <v>0</v>
      </c>
      <c r="AG51">
        <v>0</v>
      </c>
      <c r="AH51">
        <v>0</v>
      </c>
      <c r="AI51">
        <v>7.73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0.2</v>
      </c>
      <c r="AU51" t="s">
        <v>3</v>
      </c>
      <c r="AV51">
        <v>0</v>
      </c>
      <c r="AW51">
        <v>2</v>
      </c>
      <c r="AX51">
        <v>96555328</v>
      </c>
      <c r="AY51">
        <v>1</v>
      </c>
      <c r="AZ51">
        <v>0</v>
      </c>
      <c r="BA51">
        <v>52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Y51*Source!I84</f>
        <v>1.5840000000000003E-2</v>
      </c>
      <c r="CY51">
        <f>AA51</f>
        <v>14.07</v>
      </c>
      <c r="CZ51">
        <f>AE51</f>
        <v>1.82</v>
      </c>
      <c r="DA51">
        <f>AI51</f>
        <v>7.73</v>
      </c>
      <c r="DB51">
        <f>ROUND(ROUND(AT51*CZ51,2),2)</f>
        <v>0.36</v>
      </c>
      <c r="DC51">
        <f>ROUND(ROUND(AT51*AG51,2),2)</f>
        <v>0</v>
      </c>
    </row>
    <row r="52" spans="1:107" x14ac:dyDescent="0.2">
      <c r="A52">
        <f>ROW(Source!A84)</f>
        <v>84</v>
      </c>
      <c r="B52">
        <v>96554872</v>
      </c>
      <c r="C52">
        <v>96555323</v>
      </c>
      <c r="D52">
        <v>94425953</v>
      </c>
      <c r="E52">
        <v>1</v>
      </c>
      <c r="F52">
        <v>1</v>
      </c>
      <c r="G52">
        <v>1</v>
      </c>
      <c r="H52">
        <v>3</v>
      </c>
      <c r="I52" t="s">
        <v>166</v>
      </c>
      <c r="J52" t="s">
        <v>169</v>
      </c>
      <c r="K52" t="s">
        <v>167</v>
      </c>
      <c r="L52">
        <v>1329</v>
      </c>
      <c r="N52">
        <v>1005</v>
      </c>
      <c r="O52" t="s">
        <v>168</v>
      </c>
      <c r="P52" t="s">
        <v>168</v>
      </c>
      <c r="Q52">
        <v>1000</v>
      </c>
      <c r="W52">
        <v>0</v>
      </c>
      <c r="X52">
        <v>-1029822189</v>
      </c>
      <c r="Y52">
        <v>0.105</v>
      </c>
      <c r="AA52">
        <v>690289</v>
      </c>
      <c r="AB52">
        <v>0</v>
      </c>
      <c r="AC52">
        <v>0</v>
      </c>
      <c r="AD52">
        <v>0</v>
      </c>
      <c r="AE52">
        <v>89300</v>
      </c>
      <c r="AF52">
        <v>0</v>
      </c>
      <c r="AG52">
        <v>0</v>
      </c>
      <c r="AH52">
        <v>0</v>
      </c>
      <c r="AI52">
        <v>7.73</v>
      </c>
      <c r="AJ52">
        <v>1</v>
      </c>
      <c r="AK52">
        <v>1</v>
      </c>
      <c r="AL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 t="s">
        <v>3</v>
      </c>
      <c r="AT52">
        <v>0.105</v>
      </c>
      <c r="AU52" t="s">
        <v>3</v>
      </c>
      <c r="AV52">
        <v>0</v>
      </c>
      <c r="AW52">
        <v>1</v>
      </c>
      <c r="AX52">
        <v>-1</v>
      </c>
      <c r="AY52">
        <v>0</v>
      </c>
      <c r="AZ52">
        <v>0</v>
      </c>
      <c r="BA52" t="s">
        <v>3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Y52*Source!I84</f>
        <v>8.3160000000000005E-3</v>
      </c>
      <c r="CY52">
        <f>AA52</f>
        <v>690289</v>
      </c>
      <c r="CZ52">
        <f>AE52</f>
        <v>89300</v>
      </c>
      <c r="DA52">
        <f>AI52</f>
        <v>7.73</v>
      </c>
      <c r="DB52">
        <f>ROUND(ROUND(AT52*CZ52,2),2)</f>
        <v>9376.5</v>
      </c>
      <c r="DC52">
        <f>ROUND(ROUND(AT52*AG52,2),2)</f>
        <v>0</v>
      </c>
    </row>
    <row r="53" spans="1:107" x14ac:dyDescent="0.2">
      <c r="A53">
        <f>ROW(Source!A84)</f>
        <v>84</v>
      </c>
      <c r="B53">
        <v>96554872</v>
      </c>
      <c r="C53">
        <v>96555323</v>
      </c>
      <c r="D53">
        <v>94431584</v>
      </c>
      <c r="E53">
        <v>1</v>
      </c>
      <c r="F53">
        <v>1</v>
      </c>
      <c r="G53">
        <v>1</v>
      </c>
      <c r="H53">
        <v>3</v>
      </c>
      <c r="I53" t="s">
        <v>171</v>
      </c>
      <c r="J53" t="s">
        <v>174</v>
      </c>
      <c r="K53" t="s">
        <v>172</v>
      </c>
      <c r="L53">
        <v>1346</v>
      </c>
      <c r="N53">
        <v>1009</v>
      </c>
      <c r="O53" t="s">
        <v>173</v>
      </c>
      <c r="P53" t="s">
        <v>173</v>
      </c>
      <c r="Q53">
        <v>1</v>
      </c>
      <c r="W53">
        <v>0</v>
      </c>
      <c r="X53">
        <v>311624270</v>
      </c>
      <c r="Y53">
        <v>30</v>
      </c>
      <c r="AA53">
        <v>197.58</v>
      </c>
      <c r="AB53">
        <v>0</v>
      </c>
      <c r="AC53">
        <v>0</v>
      </c>
      <c r="AD53">
        <v>0</v>
      </c>
      <c r="AE53">
        <v>25.56</v>
      </c>
      <c r="AF53">
        <v>0</v>
      </c>
      <c r="AG53">
        <v>0</v>
      </c>
      <c r="AH53">
        <v>0</v>
      </c>
      <c r="AI53">
        <v>7.73</v>
      </c>
      <c r="AJ53">
        <v>1</v>
      </c>
      <c r="AK53">
        <v>1</v>
      </c>
      <c r="AL53">
        <v>1</v>
      </c>
      <c r="AN53">
        <v>0</v>
      </c>
      <c r="AO53">
        <v>0</v>
      </c>
      <c r="AP53">
        <v>1</v>
      </c>
      <c r="AQ53">
        <v>0</v>
      </c>
      <c r="AR53">
        <v>0</v>
      </c>
      <c r="AS53" t="s">
        <v>3</v>
      </c>
      <c r="AT53">
        <v>30</v>
      </c>
      <c r="AU53" t="s">
        <v>3</v>
      </c>
      <c r="AV53">
        <v>0</v>
      </c>
      <c r="AW53">
        <v>1</v>
      </c>
      <c r="AX53">
        <v>-1</v>
      </c>
      <c r="AY53">
        <v>0</v>
      </c>
      <c r="AZ53">
        <v>0</v>
      </c>
      <c r="BA53" t="s">
        <v>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Y53*Source!I84</f>
        <v>2.3760000000000003</v>
      </c>
      <c r="CY53">
        <f>AA53</f>
        <v>197.58</v>
      </c>
      <c r="CZ53">
        <f>AE53</f>
        <v>25.56</v>
      </c>
      <c r="DA53">
        <f>AI53</f>
        <v>7.73</v>
      </c>
      <c r="DB53">
        <f>ROUND(ROUND(AT53*CZ53,2),2)</f>
        <v>766.8</v>
      </c>
      <c r="DC53">
        <f>ROUND(ROUND(AT53*AG53,2),2)</f>
        <v>0</v>
      </c>
    </row>
    <row r="54" spans="1:107" x14ac:dyDescent="0.2">
      <c r="A54">
        <f>ROW(Source!A84)</f>
        <v>84</v>
      </c>
      <c r="B54">
        <v>96554872</v>
      </c>
      <c r="C54">
        <v>96555323</v>
      </c>
      <c r="D54">
        <v>94432499</v>
      </c>
      <c r="E54">
        <v>1</v>
      </c>
      <c r="F54">
        <v>1</v>
      </c>
      <c r="G54">
        <v>1</v>
      </c>
      <c r="H54">
        <v>3</v>
      </c>
      <c r="I54" t="s">
        <v>176</v>
      </c>
      <c r="J54" t="s">
        <v>178</v>
      </c>
      <c r="K54" t="s">
        <v>177</v>
      </c>
      <c r="L54">
        <v>1348</v>
      </c>
      <c r="N54">
        <v>1009</v>
      </c>
      <c r="O54" t="s">
        <v>27</v>
      </c>
      <c r="P54" t="s">
        <v>27</v>
      </c>
      <c r="Q54">
        <v>1000</v>
      </c>
      <c r="W54">
        <v>0</v>
      </c>
      <c r="X54">
        <v>355126645</v>
      </c>
      <c r="Y54">
        <v>8.8999999999999999E-3</v>
      </c>
      <c r="AA54">
        <v>87349</v>
      </c>
      <c r="AB54">
        <v>0</v>
      </c>
      <c r="AC54">
        <v>0</v>
      </c>
      <c r="AD54">
        <v>0</v>
      </c>
      <c r="AE54">
        <v>11300</v>
      </c>
      <c r="AF54">
        <v>0</v>
      </c>
      <c r="AG54">
        <v>0</v>
      </c>
      <c r="AH54">
        <v>0</v>
      </c>
      <c r="AI54">
        <v>7.73</v>
      </c>
      <c r="AJ54">
        <v>1</v>
      </c>
      <c r="AK54">
        <v>1</v>
      </c>
      <c r="AL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 t="s">
        <v>3</v>
      </c>
      <c r="AT54">
        <v>8.8999999999999999E-3</v>
      </c>
      <c r="AU54" t="s">
        <v>3</v>
      </c>
      <c r="AV54">
        <v>0</v>
      </c>
      <c r="AW54">
        <v>1</v>
      </c>
      <c r="AX54">
        <v>-1</v>
      </c>
      <c r="AY54">
        <v>0</v>
      </c>
      <c r="AZ54">
        <v>0</v>
      </c>
      <c r="BA54" t="s">
        <v>3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Y54*Source!I84</f>
        <v>7.0488000000000007E-4</v>
      </c>
      <c r="CY54">
        <f>AA54</f>
        <v>87349</v>
      </c>
      <c r="CZ54">
        <f>AE54</f>
        <v>11300</v>
      </c>
      <c r="DA54">
        <f>AI54</f>
        <v>7.73</v>
      </c>
      <c r="DB54">
        <f>ROUND(ROUND(AT54*CZ54,2),2)</f>
        <v>100.57</v>
      </c>
      <c r="DC54">
        <f>ROUND(ROUND(AT54*AG54,2),2)</f>
        <v>0</v>
      </c>
    </row>
    <row r="55" spans="1:107" x14ac:dyDescent="0.2">
      <c r="A55">
        <f>ROW(Source!A88)</f>
        <v>88</v>
      </c>
      <c r="B55">
        <v>96554872</v>
      </c>
      <c r="C55">
        <v>96555344</v>
      </c>
      <c r="D55">
        <v>94389431</v>
      </c>
      <c r="E55">
        <v>56</v>
      </c>
      <c r="F55">
        <v>1</v>
      </c>
      <c r="G55">
        <v>1</v>
      </c>
      <c r="H55">
        <v>1</v>
      </c>
      <c r="I55" t="s">
        <v>323</v>
      </c>
      <c r="J55" t="s">
        <v>3</v>
      </c>
      <c r="K55" t="s">
        <v>324</v>
      </c>
      <c r="L55">
        <v>1191</v>
      </c>
      <c r="N55">
        <v>1013</v>
      </c>
      <c r="O55" t="s">
        <v>295</v>
      </c>
      <c r="P55" t="s">
        <v>295</v>
      </c>
      <c r="Q55">
        <v>1</v>
      </c>
      <c r="W55">
        <v>0</v>
      </c>
      <c r="X55">
        <v>-784637506</v>
      </c>
      <c r="Y55">
        <v>140.95549999999997</v>
      </c>
      <c r="AA55">
        <v>0</v>
      </c>
      <c r="AB55">
        <v>0</v>
      </c>
      <c r="AC55">
        <v>0</v>
      </c>
      <c r="AD55">
        <v>67.56</v>
      </c>
      <c r="AE55">
        <v>0</v>
      </c>
      <c r="AF55">
        <v>0</v>
      </c>
      <c r="AG55">
        <v>0</v>
      </c>
      <c r="AH55">
        <v>8.74</v>
      </c>
      <c r="AI55">
        <v>1</v>
      </c>
      <c r="AJ55">
        <v>1</v>
      </c>
      <c r="AK55">
        <v>1</v>
      </c>
      <c r="AL55">
        <v>7.73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122.57</v>
      </c>
      <c r="AU55" t="s">
        <v>125</v>
      </c>
      <c r="AV55">
        <v>1</v>
      </c>
      <c r="AW55">
        <v>2</v>
      </c>
      <c r="AX55">
        <v>96555345</v>
      </c>
      <c r="AY55">
        <v>1</v>
      </c>
      <c r="AZ55">
        <v>0</v>
      </c>
      <c r="BA55">
        <v>56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Y55*Source!I88</f>
        <v>5.6382199999999987</v>
      </c>
      <c r="CY55">
        <f>AD55</f>
        <v>67.56</v>
      </c>
      <c r="CZ55">
        <f>AH55</f>
        <v>8.74</v>
      </c>
      <c r="DA55">
        <f>AL55</f>
        <v>7.73</v>
      </c>
      <c r="DB55">
        <f>ROUND((ROUND(AT55*CZ55,2)*1.15),2)</f>
        <v>1231.95</v>
      </c>
      <c r="DC55">
        <f>ROUND((ROUND(AT55*AG55,2)*1.15),2)</f>
        <v>0</v>
      </c>
    </row>
    <row r="56" spans="1:107" x14ac:dyDescent="0.2">
      <c r="A56">
        <f>ROW(Source!A88)</f>
        <v>88</v>
      </c>
      <c r="B56">
        <v>96554872</v>
      </c>
      <c r="C56">
        <v>96555344</v>
      </c>
      <c r="D56">
        <v>94389608</v>
      </c>
      <c r="E56">
        <v>56</v>
      </c>
      <c r="F56">
        <v>1</v>
      </c>
      <c r="G56">
        <v>1</v>
      </c>
      <c r="H56">
        <v>1</v>
      </c>
      <c r="I56" t="s">
        <v>296</v>
      </c>
      <c r="J56" t="s">
        <v>3</v>
      </c>
      <c r="K56" t="s">
        <v>297</v>
      </c>
      <c r="L56">
        <v>1191</v>
      </c>
      <c r="N56">
        <v>1013</v>
      </c>
      <c r="O56" t="s">
        <v>295</v>
      </c>
      <c r="P56" t="s">
        <v>295</v>
      </c>
      <c r="Q56">
        <v>1</v>
      </c>
      <c r="W56">
        <v>0</v>
      </c>
      <c r="X56">
        <v>-1417349443</v>
      </c>
      <c r="Y56">
        <v>4.75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7.73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3.8</v>
      </c>
      <c r="AU56" t="s">
        <v>124</v>
      </c>
      <c r="AV56">
        <v>2</v>
      </c>
      <c r="AW56">
        <v>2</v>
      </c>
      <c r="AX56">
        <v>96555346</v>
      </c>
      <c r="AY56">
        <v>1</v>
      </c>
      <c r="AZ56">
        <v>0</v>
      </c>
      <c r="BA56">
        <v>57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Y56*Source!I88</f>
        <v>0.19</v>
      </c>
      <c r="CY56">
        <f>AD56</f>
        <v>0</v>
      </c>
      <c r="CZ56">
        <f>AH56</f>
        <v>0</v>
      </c>
      <c r="DA56">
        <f>AL56</f>
        <v>1</v>
      </c>
      <c r="DB56">
        <f>ROUND((ROUND(AT56*CZ56,2)*1.25),2)</f>
        <v>0</v>
      </c>
      <c r="DC56">
        <f>ROUND((ROUND(AT56*AG56,2)*1.25),2)</f>
        <v>0</v>
      </c>
    </row>
    <row r="57" spans="1:107" x14ac:dyDescent="0.2">
      <c r="A57">
        <f>ROW(Source!A88)</f>
        <v>88</v>
      </c>
      <c r="B57">
        <v>96554872</v>
      </c>
      <c r="C57">
        <v>96555344</v>
      </c>
      <c r="D57">
        <v>94550530</v>
      </c>
      <c r="E57">
        <v>1</v>
      </c>
      <c r="F57">
        <v>1</v>
      </c>
      <c r="G57">
        <v>1</v>
      </c>
      <c r="H57">
        <v>2</v>
      </c>
      <c r="I57" t="s">
        <v>298</v>
      </c>
      <c r="J57" t="s">
        <v>299</v>
      </c>
      <c r="K57" t="s">
        <v>300</v>
      </c>
      <c r="L57">
        <v>1368</v>
      </c>
      <c r="N57">
        <v>1011</v>
      </c>
      <c r="O57" t="s">
        <v>301</v>
      </c>
      <c r="P57" t="s">
        <v>301</v>
      </c>
      <c r="Q57">
        <v>1</v>
      </c>
      <c r="W57">
        <v>0</v>
      </c>
      <c r="X57">
        <v>10009565</v>
      </c>
      <c r="Y57">
        <v>0.65</v>
      </c>
      <c r="AA57">
        <v>0</v>
      </c>
      <c r="AB57">
        <v>241.64</v>
      </c>
      <c r="AC57">
        <v>13.5</v>
      </c>
      <c r="AD57">
        <v>0</v>
      </c>
      <c r="AE57">
        <v>0</v>
      </c>
      <c r="AF57">
        <v>31.26</v>
      </c>
      <c r="AG57">
        <v>13.5</v>
      </c>
      <c r="AH57">
        <v>0</v>
      </c>
      <c r="AI57">
        <v>1</v>
      </c>
      <c r="AJ57">
        <v>7.73</v>
      </c>
      <c r="AK57">
        <v>1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0.52</v>
      </c>
      <c r="AU57" t="s">
        <v>124</v>
      </c>
      <c r="AV57">
        <v>0</v>
      </c>
      <c r="AW57">
        <v>2</v>
      </c>
      <c r="AX57">
        <v>96555347</v>
      </c>
      <c r="AY57">
        <v>1</v>
      </c>
      <c r="AZ57">
        <v>0</v>
      </c>
      <c r="BA57">
        <v>58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Y57*Source!I88</f>
        <v>2.6000000000000002E-2</v>
      </c>
      <c r="CY57">
        <f>AB57</f>
        <v>241.64</v>
      </c>
      <c r="CZ57">
        <f>AF57</f>
        <v>31.26</v>
      </c>
      <c r="DA57">
        <f>AJ57</f>
        <v>7.73</v>
      </c>
      <c r="DB57">
        <f>ROUND((ROUND(AT57*CZ57,2)*1.25),2)</f>
        <v>20.329999999999998</v>
      </c>
      <c r="DC57">
        <f>ROUND((ROUND(AT57*AG57,2)*1.25),2)</f>
        <v>8.7799999999999994</v>
      </c>
    </row>
    <row r="58" spans="1:107" x14ac:dyDescent="0.2">
      <c r="A58">
        <f>ROW(Source!A88)</f>
        <v>88</v>
      </c>
      <c r="B58">
        <v>96554872</v>
      </c>
      <c r="C58">
        <v>96555344</v>
      </c>
      <c r="D58">
        <v>94551263</v>
      </c>
      <c r="E58">
        <v>1</v>
      </c>
      <c r="F58">
        <v>1</v>
      </c>
      <c r="G58">
        <v>1</v>
      </c>
      <c r="H58">
        <v>2</v>
      </c>
      <c r="I58" t="s">
        <v>314</v>
      </c>
      <c r="J58" t="s">
        <v>315</v>
      </c>
      <c r="K58" t="s">
        <v>316</v>
      </c>
      <c r="L58">
        <v>1368</v>
      </c>
      <c r="N58">
        <v>1011</v>
      </c>
      <c r="O58" t="s">
        <v>301</v>
      </c>
      <c r="P58" t="s">
        <v>301</v>
      </c>
      <c r="Q58">
        <v>1</v>
      </c>
      <c r="W58">
        <v>0</v>
      </c>
      <c r="X58">
        <v>-841254546</v>
      </c>
      <c r="Y58">
        <v>4.0999999999999996</v>
      </c>
      <c r="AA58">
        <v>0</v>
      </c>
      <c r="AB58">
        <v>507.94</v>
      </c>
      <c r="AC58">
        <v>11.6</v>
      </c>
      <c r="AD58">
        <v>0</v>
      </c>
      <c r="AE58">
        <v>0</v>
      </c>
      <c r="AF58">
        <v>65.709999999999994</v>
      </c>
      <c r="AG58">
        <v>11.6</v>
      </c>
      <c r="AH58">
        <v>0</v>
      </c>
      <c r="AI58">
        <v>1</v>
      </c>
      <c r="AJ58">
        <v>7.73</v>
      </c>
      <c r="AK58">
        <v>1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3.28</v>
      </c>
      <c r="AU58" t="s">
        <v>124</v>
      </c>
      <c r="AV58">
        <v>0</v>
      </c>
      <c r="AW58">
        <v>2</v>
      </c>
      <c r="AX58">
        <v>96555348</v>
      </c>
      <c r="AY58">
        <v>1</v>
      </c>
      <c r="AZ58">
        <v>0</v>
      </c>
      <c r="BA58">
        <v>59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Y58*Source!I88</f>
        <v>0.16399999999999998</v>
      </c>
      <c r="CY58">
        <f>AB58</f>
        <v>507.94</v>
      </c>
      <c r="CZ58">
        <f>AF58</f>
        <v>65.709999999999994</v>
      </c>
      <c r="DA58">
        <f>AJ58</f>
        <v>7.73</v>
      </c>
      <c r="DB58">
        <f>ROUND((ROUND(AT58*CZ58,2)*1.25),2)</f>
        <v>269.41000000000003</v>
      </c>
      <c r="DC58">
        <f>ROUND((ROUND(AT58*AG58,2)*1.25),2)</f>
        <v>47.56</v>
      </c>
    </row>
    <row r="59" spans="1:107" x14ac:dyDescent="0.2">
      <c r="A59">
        <f>ROW(Source!A88)</f>
        <v>88</v>
      </c>
      <c r="B59">
        <v>96554872</v>
      </c>
      <c r="C59">
        <v>96555344</v>
      </c>
      <c r="D59">
        <v>94401527</v>
      </c>
      <c r="E59">
        <v>1</v>
      </c>
      <c r="F59">
        <v>1</v>
      </c>
      <c r="G59">
        <v>1</v>
      </c>
      <c r="H59">
        <v>3</v>
      </c>
      <c r="I59" t="s">
        <v>325</v>
      </c>
      <c r="J59" t="s">
        <v>326</v>
      </c>
      <c r="K59" t="s">
        <v>327</v>
      </c>
      <c r="L59">
        <v>1301</v>
      </c>
      <c r="N59">
        <v>1003</v>
      </c>
      <c r="O59" t="s">
        <v>152</v>
      </c>
      <c r="P59" t="s">
        <v>152</v>
      </c>
      <c r="Q59">
        <v>1</v>
      </c>
      <c r="W59">
        <v>0</v>
      </c>
      <c r="X59">
        <v>874148728</v>
      </c>
      <c r="Y59">
        <v>218</v>
      </c>
      <c r="AA59">
        <v>49.32</v>
      </c>
      <c r="AB59">
        <v>0</v>
      </c>
      <c r="AC59">
        <v>0</v>
      </c>
      <c r="AD59">
        <v>0</v>
      </c>
      <c r="AE59">
        <v>6.38</v>
      </c>
      <c r="AF59">
        <v>0</v>
      </c>
      <c r="AG59">
        <v>0</v>
      </c>
      <c r="AH59">
        <v>0</v>
      </c>
      <c r="AI59">
        <v>7.73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218</v>
      </c>
      <c r="AU59" t="s">
        <v>3</v>
      </c>
      <c r="AV59">
        <v>0</v>
      </c>
      <c r="AW59">
        <v>2</v>
      </c>
      <c r="AX59">
        <v>96555349</v>
      </c>
      <c r="AY59">
        <v>1</v>
      </c>
      <c r="AZ59">
        <v>0</v>
      </c>
      <c r="BA59">
        <v>60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Y59*Source!I88</f>
        <v>8.7200000000000006</v>
      </c>
      <c r="CY59">
        <f t="shared" ref="CY59:CY65" si="7">AA59</f>
        <v>49.32</v>
      </c>
      <c r="CZ59">
        <f t="shared" ref="CZ59:CZ65" si="8">AE59</f>
        <v>6.38</v>
      </c>
      <c r="DA59">
        <f t="shared" ref="DA59:DA65" si="9">AI59</f>
        <v>7.73</v>
      </c>
      <c r="DB59">
        <f t="shared" ref="DB59:DB65" si="10">ROUND(ROUND(AT59*CZ59,2),2)</f>
        <v>1390.84</v>
      </c>
      <c r="DC59">
        <f t="shared" ref="DC59:DC65" si="11">ROUND(ROUND(AT59*AG59,2),2)</f>
        <v>0</v>
      </c>
    </row>
    <row r="60" spans="1:107" x14ac:dyDescent="0.2">
      <c r="A60">
        <f>ROW(Source!A88)</f>
        <v>88</v>
      </c>
      <c r="B60">
        <v>96554872</v>
      </c>
      <c r="C60">
        <v>96555344</v>
      </c>
      <c r="D60">
        <v>94401528</v>
      </c>
      <c r="E60">
        <v>1</v>
      </c>
      <c r="F60">
        <v>1</v>
      </c>
      <c r="G60">
        <v>1</v>
      </c>
      <c r="H60">
        <v>3</v>
      </c>
      <c r="I60" t="s">
        <v>328</v>
      </c>
      <c r="J60" t="s">
        <v>329</v>
      </c>
      <c r="K60" t="s">
        <v>330</v>
      </c>
      <c r="L60">
        <v>1301</v>
      </c>
      <c r="N60">
        <v>1003</v>
      </c>
      <c r="O60" t="s">
        <v>152</v>
      </c>
      <c r="P60" t="s">
        <v>152</v>
      </c>
      <c r="Q60">
        <v>1</v>
      </c>
      <c r="W60">
        <v>0</v>
      </c>
      <c r="X60">
        <v>1533874</v>
      </c>
      <c r="Y60">
        <v>40</v>
      </c>
      <c r="AA60">
        <v>61.45</v>
      </c>
      <c r="AB60">
        <v>0</v>
      </c>
      <c r="AC60">
        <v>0</v>
      </c>
      <c r="AD60">
        <v>0</v>
      </c>
      <c r="AE60">
        <v>7.95</v>
      </c>
      <c r="AF60">
        <v>0</v>
      </c>
      <c r="AG60">
        <v>0</v>
      </c>
      <c r="AH60">
        <v>0</v>
      </c>
      <c r="AI60">
        <v>7.73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40</v>
      </c>
      <c r="AU60" t="s">
        <v>3</v>
      </c>
      <c r="AV60">
        <v>0</v>
      </c>
      <c r="AW60">
        <v>2</v>
      </c>
      <c r="AX60">
        <v>96555350</v>
      </c>
      <c r="AY60">
        <v>1</v>
      </c>
      <c r="AZ60">
        <v>0</v>
      </c>
      <c r="BA60">
        <v>61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Y60*Source!I88</f>
        <v>1.6</v>
      </c>
      <c r="CY60">
        <f t="shared" si="7"/>
        <v>61.45</v>
      </c>
      <c r="CZ60">
        <f t="shared" si="8"/>
        <v>7.95</v>
      </c>
      <c r="DA60">
        <f t="shared" si="9"/>
        <v>7.73</v>
      </c>
      <c r="DB60">
        <f t="shared" si="10"/>
        <v>318</v>
      </c>
      <c r="DC60">
        <f t="shared" si="11"/>
        <v>0</v>
      </c>
    </row>
    <row r="61" spans="1:107" x14ac:dyDescent="0.2">
      <c r="A61">
        <f>ROW(Source!A88)</f>
        <v>88</v>
      </c>
      <c r="B61">
        <v>96554872</v>
      </c>
      <c r="C61">
        <v>96555344</v>
      </c>
      <c r="D61">
        <v>94401614</v>
      </c>
      <c r="E61">
        <v>1</v>
      </c>
      <c r="F61">
        <v>1</v>
      </c>
      <c r="G61">
        <v>1</v>
      </c>
      <c r="H61">
        <v>3</v>
      </c>
      <c r="I61" t="s">
        <v>331</v>
      </c>
      <c r="J61" t="s">
        <v>332</v>
      </c>
      <c r="K61" t="s">
        <v>333</v>
      </c>
      <c r="L61">
        <v>1302</v>
      </c>
      <c r="N61">
        <v>1003</v>
      </c>
      <c r="O61" t="s">
        <v>334</v>
      </c>
      <c r="P61" t="s">
        <v>334</v>
      </c>
      <c r="Q61">
        <v>10</v>
      </c>
      <c r="W61">
        <v>0</v>
      </c>
      <c r="X61">
        <v>770371103</v>
      </c>
      <c r="Y61">
        <v>15.1</v>
      </c>
      <c r="AA61">
        <v>495.49</v>
      </c>
      <c r="AB61">
        <v>0</v>
      </c>
      <c r="AC61">
        <v>0</v>
      </c>
      <c r="AD61">
        <v>0</v>
      </c>
      <c r="AE61">
        <v>64.099999999999994</v>
      </c>
      <c r="AF61">
        <v>0</v>
      </c>
      <c r="AG61">
        <v>0</v>
      </c>
      <c r="AH61">
        <v>0</v>
      </c>
      <c r="AI61">
        <v>7.73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15.1</v>
      </c>
      <c r="AU61" t="s">
        <v>3</v>
      </c>
      <c r="AV61">
        <v>0</v>
      </c>
      <c r="AW61">
        <v>2</v>
      </c>
      <c r="AX61">
        <v>96555351</v>
      </c>
      <c r="AY61">
        <v>1</v>
      </c>
      <c r="AZ61">
        <v>0</v>
      </c>
      <c r="BA61">
        <v>62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Y61*Source!I88</f>
        <v>0.60399999999999998</v>
      </c>
      <c r="CY61">
        <f t="shared" si="7"/>
        <v>495.49</v>
      </c>
      <c r="CZ61">
        <f t="shared" si="8"/>
        <v>64.099999999999994</v>
      </c>
      <c r="DA61">
        <f t="shared" si="9"/>
        <v>7.73</v>
      </c>
      <c r="DB61">
        <f t="shared" si="10"/>
        <v>967.91</v>
      </c>
      <c r="DC61">
        <f t="shared" si="11"/>
        <v>0</v>
      </c>
    </row>
    <row r="62" spans="1:107" x14ac:dyDescent="0.2">
      <c r="A62">
        <f>ROW(Source!A88)</f>
        <v>88</v>
      </c>
      <c r="B62">
        <v>96554872</v>
      </c>
      <c r="C62">
        <v>96555344</v>
      </c>
      <c r="D62">
        <v>94403659</v>
      </c>
      <c r="E62">
        <v>1</v>
      </c>
      <c r="F62">
        <v>1</v>
      </c>
      <c r="G62">
        <v>1</v>
      </c>
      <c r="H62">
        <v>3</v>
      </c>
      <c r="I62" t="s">
        <v>335</v>
      </c>
      <c r="J62" t="s">
        <v>336</v>
      </c>
      <c r="K62" t="s">
        <v>337</v>
      </c>
      <c r="L62">
        <v>1455</v>
      </c>
      <c r="N62">
        <v>1013</v>
      </c>
      <c r="O62" t="s">
        <v>157</v>
      </c>
      <c r="P62" t="s">
        <v>157</v>
      </c>
      <c r="Q62">
        <v>1</v>
      </c>
      <c r="W62">
        <v>0</v>
      </c>
      <c r="X62">
        <v>-1614242126</v>
      </c>
      <c r="Y62">
        <v>31.1</v>
      </c>
      <c r="AA62">
        <v>54.34</v>
      </c>
      <c r="AB62">
        <v>0</v>
      </c>
      <c r="AC62">
        <v>0</v>
      </c>
      <c r="AD62">
        <v>0</v>
      </c>
      <c r="AE62">
        <v>7.03</v>
      </c>
      <c r="AF62">
        <v>0</v>
      </c>
      <c r="AG62">
        <v>0</v>
      </c>
      <c r="AH62">
        <v>0</v>
      </c>
      <c r="AI62">
        <v>7.73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31.1</v>
      </c>
      <c r="AU62" t="s">
        <v>3</v>
      </c>
      <c r="AV62">
        <v>0</v>
      </c>
      <c r="AW62">
        <v>2</v>
      </c>
      <c r="AX62">
        <v>96555352</v>
      </c>
      <c r="AY62">
        <v>1</v>
      </c>
      <c r="AZ62">
        <v>0</v>
      </c>
      <c r="BA62">
        <v>63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Y62*Source!I88</f>
        <v>1.244</v>
      </c>
      <c r="CY62">
        <f t="shared" si="7"/>
        <v>54.34</v>
      </c>
      <c r="CZ62">
        <f t="shared" si="8"/>
        <v>7.03</v>
      </c>
      <c r="DA62">
        <f t="shared" si="9"/>
        <v>7.73</v>
      </c>
      <c r="DB62">
        <f t="shared" si="10"/>
        <v>218.63</v>
      </c>
      <c r="DC62">
        <f t="shared" si="11"/>
        <v>0</v>
      </c>
    </row>
    <row r="63" spans="1:107" x14ac:dyDescent="0.2">
      <c r="A63">
        <f>ROW(Source!A88)</f>
        <v>88</v>
      </c>
      <c r="B63">
        <v>96554872</v>
      </c>
      <c r="C63">
        <v>96555344</v>
      </c>
      <c r="D63">
        <v>94426299</v>
      </c>
      <c r="E63">
        <v>1</v>
      </c>
      <c r="F63">
        <v>1</v>
      </c>
      <c r="G63">
        <v>1</v>
      </c>
      <c r="H63">
        <v>3</v>
      </c>
      <c r="I63" t="s">
        <v>184</v>
      </c>
      <c r="J63" t="s">
        <v>186</v>
      </c>
      <c r="K63" t="s">
        <v>185</v>
      </c>
      <c r="L63">
        <v>1327</v>
      </c>
      <c r="N63">
        <v>1005</v>
      </c>
      <c r="O63" t="s">
        <v>134</v>
      </c>
      <c r="P63" t="s">
        <v>134</v>
      </c>
      <c r="Q63">
        <v>1</v>
      </c>
      <c r="W63">
        <v>0</v>
      </c>
      <c r="X63">
        <v>-257655656</v>
      </c>
      <c r="Y63">
        <v>100</v>
      </c>
      <c r="AA63">
        <v>11081.65</v>
      </c>
      <c r="AB63">
        <v>0</v>
      </c>
      <c r="AC63">
        <v>0</v>
      </c>
      <c r="AD63">
        <v>0</v>
      </c>
      <c r="AE63">
        <v>1433.59</v>
      </c>
      <c r="AF63">
        <v>0</v>
      </c>
      <c r="AG63">
        <v>0</v>
      </c>
      <c r="AH63">
        <v>0</v>
      </c>
      <c r="AI63">
        <v>7.73</v>
      </c>
      <c r="AJ63">
        <v>1</v>
      </c>
      <c r="AK63">
        <v>1</v>
      </c>
      <c r="AL63">
        <v>1</v>
      </c>
      <c r="AN63">
        <v>0</v>
      </c>
      <c r="AO63">
        <v>0</v>
      </c>
      <c r="AP63">
        <v>1</v>
      </c>
      <c r="AQ63">
        <v>0</v>
      </c>
      <c r="AR63">
        <v>0</v>
      </c>
      <c r="AS63" t="s">
        <v>3</v>
      </c>
      <c r="AT63">
        <v>100</v>
      </c>
      <c r="AU63" t="s">
        <v>3</v>
      </c>
      <c r="AV63">
        <v>0</v>
      </c>
      <c r="AW63">
        <v>1</v>
      </c>
      <c r="AX63">
        <v>-1</v>
      </c>
      <c r="AY63">
        <v>0</v>
      </c>
      <c r="AZ63">
        <v>0</v>
      </c>
      <c r="BA63" t="s">
        <v>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Y63*Source!I88</f>
        <v>4</v>
      </c>
      <c r="CY63">
        <f t="shared" si="7"/>
        <v>11081.65</v>
      </c>
      <c r="CZ63">
        <f t="shared" si="8"/>
        <v>1433.59</v>
      </c>
      <c r="DA63">
        <f t="shared" si="9"/>
        <v>7.73</v>
      </c>
      <c r="DB63">
        <f t="shared" si="10"/>
        <v>143359</v>
      </c>
      <c r="DC63">
        <f t="shared" si="11"/>
        <v>0</v>
      </c>
    </row>
    <row r="64" spans="1:107" x14ac:dyDescent="0.2">
      <c r="A64">
        <f>ROW(Source!A88)</f>
        <v>88</v>
      </c>
      <c r="B64">
        <v>96554872</v>
      </c>
      <c r="C64">
        <v>96555344</v>
      </c>
      <c r="D64">
        <v>94426760</v>
      </c>
      <c r="E64">
        <v>1</v>
      </c>
      <c r="F64">
        <v>1</v>
      </c>
      <c r="G64">
        <v>1</v>
      </c>
      <c r="H64">
        <v>3</v>
      </c>
      <c r="I64" t="s">
        <v>338</v>
      </c>
      <c r="J64" t="s">
        <v>339</v>
      </c>
      <c r="K64" t="s">
        <v>340</v>
      </c>
      <c r="L64">
        <v>1425</v>
      </c>
      <c r="N64">
        <v>1013</v>
      </c>
      <c r="O64" t="s">
        <v>36</v>
      </c>
      <c r="P64" t="s">
        <v>36</v>
      </c>
      <c r="Q64">
        <v>1</v>
      </c>
      <c r="W64">
        <v>0</v>
      </c>
      <c r="X64">
        <v>151922765</v>
      </c>
      <c r="Y64">
        <v>8</v>
      </c>
      <c r="AA64">
        <v>386.5</v>
      </c>
      <c r="AB64">
        <v>0</v>
      </c>
      <c r="AC64">
        <v>0</v>
      </c>
      <c r="AD64">
        <v>0</v>
      </c>
      <c r="AE64">
        <v>50</v>
      </c>
      <c r="AF64">
        <v>0</v>
      </c>
      <c r="AG64">
        <v>0</v>
      </c>
      <c r="AH64">
        <v>0</v>
      </c>
      <c r="AI64">
        <v>7.73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8</v>
      </c>
      <c r="AU64" t="s">
        <v>3</v>
      </c>
      <c r="AV64">
        <v>0</v>
      </c>
      <c r="AW64">
        <v>2</v>
      </c>
      <c r="AX64">
        <v>96555354</v>
      </c>
      <c r="AY64">
        <v>1</v>
      </c>
      <c r="AZ64">
        <v>0</v>
      </c>
      <c r="BA64">
        <v>65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Y64*Source!I88</f>
        <v>0.32</v>
      </c>
      <c r="CY64">
        <f t="shared" si="7"/>
        <v>386.5</v>
      </c>
      <c r="CZ64">
        <f t="shared" si="8"/>
        <v>50</v>
      </c>
      <c r="DA64">
        <f t="shared" si="9"/>
        <v>7.73</v>
      </c>
      <c r="DB64">
        <f t="shared" si="10"/>
        <v>400</v>
      </c>
      <c r="DC64">
        <f t="shared" si="11"/>
        <v>0</v>
      </c>
    </row>
    <row r="65" spans="1:107" x14ac:dyDescent="0.2">
      <c r="A65">
        <f>ROW(Source!A88)</f>
        <v>88</v>
      </c>
      <c r="B65">
        <v>96554872</v>
      </c>
      <c r="C65">
        <v>96555344</v>
      </c>
      <c r="D65">
        <v>94433277</v>
      </c>
      <c r="E65">
        <v>1</v>
      </c>
      <c r="F65">
        <v>1</v>
      </c>
      <c r="G65">
        <v>1</v>
      </c>
      <c r="H65">
        <v>3</v>
      </c>
      <c r="I65" t="s">
        <v>341</v>
      </c>
      <c r="J65" t="s">
        <v>342</v>
      </c>
      <c r="K65" t="s">
        <v>343</v>
      </c>
      <c r="L65">
        <v>1296</v>
      </c>
      <c r="N65">
        <v>1002</v>
      </c>
      <c r="O65" t="s">
        <v>344</v>
      </c>
      <c r="P65" t="s">
        <v>344</v>
      </c>
      <c r="Q65">
        <v>1</v>
      </c>
      <c r="W65">
        <v>0</v>
      </c>
      <c r="X65">
        <v>957926051</v>
      </c>
      <c r="Y65">
        <v>52.73</v>
      </c>
      <c r="AA65">
        <v>362.23</v>
      </c>
      <c r="AB65">
        <v>0</v>
      </c>
      <c r="AC65">
        <v>0</v>
      </c>
      <c r="AD65">
        <v>0</v>
      </c>
      <c r="AE65">
        <v>46.86</v>
      </c>
      <c r="AF65">
        <v>0</v>
      </c>
      <c r="AG65">
        <v>0</v>
      </c>
      <c r="AH65">
        <v>0</v>
      </c>
      <c r="AI65">
        <v>7.73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52.73</v>
      </c>
      <c r="AU65" t="s">
        <v>3</v>
      </c>
      <c r="AV65">
        <v>0</v>
      </c>
      <c r="AW65">
        <v>2</v>
      </c>
      <c r="AX65">
        <v>96555355</v>
      </c>
      <c r="AY65">
        <v>1</v>
      </c>
      <c r="AZ65">
        <v>0</v>
      </c>
      <c r="BA65">
        <v>66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Y65*Source!I88</f>
        <v>2.1092</v>
      </c>
      <c r="CY65">
        <f t="shared" si="7"/>
        <v>362.23</v>
      </c>
      <c r="CZ65">
        <f t="shared" si="8"/>
        <v>46.86</v>
      </c>
      <c r="DA65">
        <f t="shared" si="9"/>
        <v>7.73</v>
      </c>
      <c r="DB65">
        <f t="shared" si="10"/>
        <v>2470.9299999999998</v>
      </c>
      <c r="DC65">
        <f t="shared" si="11"/>
        <v>0</v>
      </c>
    </row>
    <row r="66" spans="1:107" x14ac:dyDescent="0.2">
      <c r="A66">
        <f>ROW(Source!A90)</f>
        <v>90</v>
      </c>
      <c r="B66">
        <v>96554872</v>
      </c>
      <c r="C66">
        <v>96555423</v>
      </c>
      <c r="D66">
        <v>94389477</v>
      </c>
      <c r="E66">
        <v>56</v>
      </c>
      <c r="F66">
        <v>1</v>
      </c>
      <c r="G66">
        <v>1</v>
      </c>
      <c r="H66">
        <v>1</v>
      </c>
      <c r="I66" t="s">
        <v>350</v>
      </c>
      <c r="J66" t="s">
        <v>3</v>
      </c>
      <c r="K66" t="s">
        <v>351</v>
      </c>
      <c r="L66">
        <v>1191</v>
      </c>
      <c r="N66">
        <v>1013</v>
      </c>
      <c r="O66" t="s">
        <v>295</v>
      </c>
      <c r="P66" t="s">
        <v>295</v>
      </c>
      <c r="Q66">
        <v>1</v>
      </c>
      <c r="W66">
        <v>0</v>
      </c>
      <c r="X66">
        <v>912892513</v>
      </c>
      <c r="Y66">
        <v>2.76</v>
      </c>
      <c r="AA66">
        <v>0</v>
      </c>
      <c r="AB66">
        <v>0</v>
      </c>
      <c r="AC66">
        <v>0</v>
      </c>
      <c r="AD66">
        <v>76.680000000000007</v>
      </c>
      <c r="AE66">
        <v>0</v>
      </c>
      <c r="AF66">
        <v>0</v>
      </c>
      <c r="AG66">
        <v>0</v>
      </c>
      <c r="AH66">
        <v>9.92</v>
      </c>
      <c r="AI66">
        <v>1</v>
      </c>
      <c r="AJ66">
        <v>1</v>
      </c>
      <c r="AK66">
        <v>1</v>
      </c>
      <c r="AL66">
        <v>7.73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2.4</v>
      </c>
      <c r="AU66" t="s">
        <v>125</v>
      </c>
      <c r="AV66">
        <v>1</v>
      </c>
      <c r="AW66">
        <v>2</v>
      </c>
      <c r="AX66">
        <v>96555424</v>
      </c>
      <c r="AY66">
        <v>1</v>
      </c>
      <c r="AZ66">
        <v>0</v>
      </c>
      <c r="BA66">
        <v>67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Y66*Source!I90</f>
        <v>47.747999999999998</v>
      </c>
      <c r="CY66">
        <f>AD66</f>
        <v>76.680000000000007</v>
      </c>
      <c r="CZ66">
        <f>AH66</f>
        <v>9.92</v>
      </c>
      <c r="DA66">
        <f>AL66</f>
        <v>7.73</v>
      </c>
      <c r="DB66">
        <f>ROUND((ROUND(AT66*CZ66,2)*1.15),2)</f>
        <v>27.38</v>
      </c>
      <c r="DC66">
        <f>ROUND((ROUND(AT66*AG66,2)*1.15),2)</f>
        <v>0</v>
      </c>
    </row>
    <row r="67" spans="1:107" x14ac:dyDescent="0.2">
      <c r="A67">
        <f>ROW(Source!A90)</f>
        <v>90</v>
      </c>
      <c r="B67">
        <v>96554872</v>
      </c>
      <c r="C67">
        <v>96555423</v>
      </c>
      <c r="D67">
        <v>94389608</v>
      </c>
      <c r="E67">
        <v>56</v>
      </c>
      <c r="F67">
        <v>1</v>
      </c>
      <c r="G67">
        <v>1</v>
      </c>
      <c r="H67">
        <v>1</v>
      </c>
      <c r="I67" t="s">
        <v>296</v>
      </c>
      <c r="J67" t="s">
        <v>3</v>
      </c>
      <c r="K67" t="s">
        <v>297</v>
      </c>
      <c r="L67">
        <v>1191</v>
      </c>
      <c r="N67">
        <v>1013</v>
      </c>
      <c r="O67" t="s">
        <v>295</v>
      </c>
      <c r="P67" t="s">
        <v>295</v>
      </c>
      <c r="Q67">
        <v>1</v>
      </c>
      <c r="W67">
        <v>0</v>
      </c>
      <c r="X67">
        <v>-1417349443</v>
      </c>
      <c r="Y67">
        <v>0.21250000000000002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1</v>
      </c>
      <c r="AJ67">
        <v>1</v>
      </c>
      <c r="AK67">
        <v>7.73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0.17</v>
      </c>
      <c r="AU67" t="s">
        <v>124</v>
      </c>
      <c r="AV67">
        <v>2</v>
      </c>
      <c r="AW67">
        <v>2</v>
      </c>
      <c r="AX67">
        <v>96555425</v>
      </c>
      <c r="AY67">
        <v>1</v>
      </c>
      <c r="AZ67">
        <v>0</v>
      </c>
      <c r="BA67">
        <v>68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Y67*Source!I90</f>
        <v>3.6762500000000005</v>
      </c>
      <c r="CY67">
        <f>AD67</f>
        <v>0</v>
      </c>
      <c r="CZ67">
        <f>AH67</f>
        <v>0</v>
      </c>
      <c r="DA67">
        <f>AL67</f>
        <v>1</v>
      </c>
      <c r="DB67">
        <f>ROUND((ROUND(AT67*CZ67,2)*1.25),2)</f>
        <v>0</v>
      </c>
      <c r="DC67">
        <f>ROUND((ROUND(AT67*AG67,2)*1.25),2)</f>
        <v>0</v>
      </c>
    </row>
    <row r="68" spans="1:107" x14ac:dyDescent="0.2">
      <c r="A68">
        <f>ROW(Source!A90)</f>
        <v>90</v>
      </c>
      <c r="B68">
        <v>96554872</v>
      </c>
      <c r="C68">
        <v>96555423</v>
      </c>
      <c r="D68">
        <v>94551263</v>
      </c>
      <c r="E68">
        <v>1</v>
      </c>
      <c r="F68">
        <v>1</v>
      </c>
      <c r="G68">
        <v>1</v>
      </c>
      <c r="H68">
        <v>2</v>
      </c>
      <c r="I68" t="s">
        <v>314</v>
      </c>
      <c r="J68" t="s">
        <v>315</v>
      </c>
      <c r="K68" t="s">
        <v>316</v>
      </c>
      <c r="L68">
        <v>1368</v>
      </c>
      <c r="N68">
        <v>1011</v>
      </c>
      <c r="O68" t="s">
        <v>301</v>
      </c>
      <c r="P68" t="s">
        <v>301</v>
      </c>
      <c r="Q68">
        <v>1</v>
      </c>
      <c r="W68">
        <v>0</v>
      </c>
      <c r="X68">
        <v>-841254546</v>
      </c>
      <c r="Y68">
        <v>0.21250000000000002</v>
      </c>
      <c r="AA68">
        <v>0</v>
      </c>
      <c r="AB68">
        <v>507.94</v>
      </c>
      <c r="AC68">
        <v>11.6</v>
      </c>
      <c r="AD68">
        <v>0</v>
      </c>
      <c r="AE68">
        <v>0</v>
      </c>
      <c r="AF68">
        <v>65.709999999999994</v>
      </c>
      <c r="AG68">
        <v>11.6</v>
      </c>
      <c r="AH68">
        <v>0</v>
      </c>
      <c r="AI68">
        <v>1</v>
      </c>
      <c r="AJ68">
        <v>7.73</v>
      </c>
      <c r="AK68">
        <v>1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0.17</v>
      </c>
      <c r="AU68" t="s">
        <v>124</v>
      </c>
      <c r="AV68">
        <v>0</v>
      </c>
      <c r="AW68">
        <v>2</v>
      </c>
      <c r="AX68">
        <v>96555426</v>
      </c>
      <c r="AY68">
        <v>1</v>
      </c>
      <c r="AZ68">
        <v>0</v>
      </c>
      <c r="BA68">
        <v>69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Y68*Source!I90</f>
        <v>3.6762500000000005</v>
      </c>
      <c r="CY68">
        <f>AB68</f>
        <v>507.94</v>
      </c>
      <c r="CZ68">
        <f>AF68</f>
        <v>65.709999999999994</v>
      </c>
      <c r="DA68">
        <f>AJ68</f>
        <v>7.73</v>
      </c>
      <c r="DB68">
        <f>ROUND((ROUND(AT68*CZ68,2)*1.25),2)</f>
        <v>13.96</v>
      </c>
      <c r="DC68">
        <f>ROUND((ROUND(AT68*AG68,2)*1.25),2)</f>
        <v>2.46</v>
      </c>
    </row>
    <row r="69" spans="1:107" x14ac:dyDescent="0.2">
      <c r="A69">
        <f>ROW(Source!A90)</f>
        <v>90</v>
      </c>
      <c r="B69">
        <v>96554872</v>
      </c>
      <c r="C69">
        <v>96555423</v>
      </c>
      <c r="D69">
        <v>94551473</v>
      </c>
      <c r="E69">
        <v>1</v>
      </c>
      <c r="F69">
        <v>1</v>
      </c>
      <c r="G69">
        <v>1</v>
      </c>
      <c r="H69">
        <v>2</v>
      </c>
      <c r="I69" t="s">
        <v>352</v>
      </c>
      <c r="J69" t="s">
        <v>353</v>
      </c>
      <c r="K69" t="s">
        <v>354</v>
      </c>
      <c r="L69">
        <v>1368</v>
      </c>
      <c r="N69">
        <v>1011</v>
      </c>
      <c r="O69" t="s">
        <v>301</v>
      </c>
      <c r="P69" t="s">
        <v>301</v>
      </c>
      <c r="Q69">
        <v>1</v>
      </c>
      <c r="W69">
        <v>0</v>
      </c>
      <c r="X69">
        <v>900652632</v>
      </c>
      <c r="Y69">
        <v>0.5</v>
      </c>
      <c r="AA69">
        <v>0</v>
      </c>
      <c r="AB69">
        <v>62.61</v>
      </c>
      <c r="AC69">
        <v>0</v>
      </c>
      <c r="AD69">
        <v>0</v>
      </c>
      <c r="AE69">
        <v>0</v>
      </c>
      <c r="AF69">
        <v>8.1</v>
      </c>
      <c r="AG69">
        <v>0</v>
      </c>
      <c r="AH69">
        <v>0</v>
      </c>
      <c r="AI69">
        <v>1</v>
      </c>
      <c r="AJ69">
        <v>7.73</v>
      </c>
      <c r="AK69">
        <v>1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0.4</v>
      </c>
      <c r="AU69" t="s">
        <v>124</v>
      </c>
      <c r="AV69">
        <v>0</v>
      </c>
      <c r="AW69">
        <v>2</v>
      </c>
      <c r="AX69">
        <v>96555427</v>
      </c>
      <c r="AY69">
        <v>1</v>
      </c>
      <c r="AZ69">
        <v>0</v>
      </c>
      <c r="BA69">
        <v>70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Y69*Source!I90</f>
        <v>8.65</v>
      </c>
      <c r="CY69">
        <f>AB69</f>
        <v>62.61</v>
      </c>
      <c r="CZ69">
        <f>AF69</f>
        <v>8.1</v>
      </c>
      <c r="DA69">
        <f>AJ69</f>
        <v>7.73</v>
      </c>
      <c r="DB69">
        <f>ROUND((ROUND(AT69*CZ69,2)*1.25),2)</f>
        <v>4.05</v>
      </c>
      <c r="DC69">
        <f>ROUND((ROUND(AT69*AG69,2)*1.25),2)</f>
        <v>0</v>
      </c>
    </row>
    <row r="70" spans="1:107" x14ac:dyDescent="0.2">
      <c r="A70">
        <f>ROW(Source!A90)</f>
        <v>90</v>
      </c>
      <c r="B70">
        <v>96554872</v>
      </c>
      <c r="C70">
        <v>96555423</v>
      </c>
      <c r="D70">
        <v>94401325</v>
      </c>
      <c r="E70">
        <v>1</v>
      </c>
      <c r="F70">
        <v>1</v>
      </c>
      <c r="G70">
        <v>1</v>
      </c>
      <c r="H70">
        <v>3</v>
      </c>
      <c r="I70" t="s">
        <v>194</v>
      </c>
      <c r="J70" t="s">
        <v>197</v>
      </c>
      <c r="K70" t="s">
        <v>195</v>
      </c>
      <c r="L70">
        <v>1377</v>
      </c>
      <c r="N70">
        <v>1013</v>
      </c>
      <c r="O70" t="s">
        <v>196</v>
      </c>
      <c r="P70" t="s">
        <v>196</v>
      </c>
      <c r="Q70">
        <v>1</v>
      </c>
      <c r="W70">
        <v>0</v>
      </c>
      <c r="X70">
        <v>1221351796</v>
      </c>
      <c r="Y70">
        <v>0.115607</v>
      </c>
      <c r="AA70">
        <v>1861.31</v>
      </c>
      <c r="AB70">
        <v>0</v>
      </c>
      <c r="AC70">
        <v>0</v>
      </c>
      <c r="AD70">
        <v>0</v>
      </c>
      <c r="AE70">
        <v>240.79</v>
      </c>
      <c r="AF70">
        <v>0</v>
      </c>
      <c r="AG70">
        <v>0</v>
      </c>
      <c r="AH70">
        <v>0</v>
      </c>
      <c r="AI70">
        <v>7.73</v>
      </c>
      <c r="AJ70">
        <v>1</v>
      </c>
      <c r="AK70">
        <v>1</v>
      </c>
      <c r="AL70">
        <v>1</v>
      </c>
      <c r="AN70">
        <v>1</v>
      </c>
      <c r="AO70">
        <v>0</v>
      </c>
      <c r="AP70">
        <v>0</v>
      </c>
      <c r="AQ70">
        <v>0</v>
      </c>
      <c r="AR70">
        <v>0</v>
      </c>
      <c r="AS70" t="s">
        <v>3</v>
      </c>
      <c r="AT70">
        <v>0.115607</v>
      </c>
      <c r="AU70" t="s">
        <v>3</v>
      </c>
      <c r="AV70">
        <v>0</v>
      </c>
      <c r="AW70">
        <v>1</v>
      </c>
      <c r="AX70">
        <v>-1</v>
      </c>
      <c r="AY70">
        <v>0</v>
      </c>
      <c r="AZ70">
        <v>0</v>
      </c>
      <c r="BA70" t="s">
        <v>3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Y70*Source!I90</f>
        <v>2.0000011</v>
      </c>
      <c r="CY70">
        <f>AA70</f>
        <v>1861.31</v>
      </c>
      <c r="CZ70">
        <f>AE70</f>
        <v>240.79</v>
      </c>
      <c r="DA70">
        <f>AI70</f>
        <v>7.73</v>
      </c>
      <c r="DB70">
        <f>ROUND(ROUND(AT70*CZ70,2),2)</f>
        <v>27.84</v>
      </c>
      <c r="DC70">
        <f>ROUND(ROUND(AT70*AG70,2),2)</f>
        <v>0</v>
      </c>
    </row>
    <row r="71" spans="1:107" x14ac:dyDescent="0.2">
      <c r="A71">
        <f>ROW(Source!A90)</f>
        <v>90</v>
      </c>
      <c r="B71">
        <v>96554872</v>
      </c>
      <c r="C71">
        <v>96555423</v>
      </c>
      <c r="D71">
        <v>94402382</v>
      </c>
      <c r="E71">
        <v>1</v>
      </c>
      <c r="F71">
        <v>1</v>
      </c>
      <c r="G71">
        <v>1</v>
      </c>
      <c r="H71">
        <v>3</v>
      </c>
      <c r="I71" t="s">
        <v>355</v>
      </c>
      <c r="J71" t="s">
        <v>356</v>
      </c>
      <c r="K71" t="s">
        <v>357</v>
      </c>
      <c r="L71">
        <v>1348</v>
      </c>
      <c r="N71">
        <v>1009</v>
      </c>
      <c r="O71" t="s">
        <v>27</v>
      </c>
      <c r="P71" t="s">
        <v>27</v>
      </c>
      <c r="Q71">
        <v>1000</v>
      </c>
      <c r="W71">
        <v>0</v>
      </c>
      <c r="X71">
        <v>1467298708</v>
      </c>
      <c r="Y71">
        <v>1E-4</v>
      </c>
      <c r="AA71">
        <v>79735.03</v>
      </c>
      <c r="AB71">
        <v>0</v>
      </c>
      <c r="AC71">
        <v>0</v>
      </c>
      <c r="AD71">
        <v>0</v>
      </c>
      <c r="AE71">
        <v>10315.01</v>
      </c>
      <c r="AF71">
        <v>0</v>
      </c>
      <c r="AG71">
        <v>0</v>
      </c>
      <c r="AH71">
        <v>0</v>
      </c>
      <c r="AI71">
        <v>7.73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1E-4</v>
      </c>
      <c r="AU71" t="s">
        <v>3</v>
      </c>
      <c r="AV71">
        <v>0</v>
      </c>
      <c r="AW71">
        <v>2</v>
      </c>
      <c r="AX71">
        <v>96555429</v>
      </c>
      <c r="AY71">
        <v>1</v>
      </c>
      <c r="AZ71">
        <v>0</v>
      </c>
      <c r="BA71">
        <v>72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Y71*Source!I90</f>
        <v>1.7300000000000002E-3</v>
      </c>
      <c r="CY71">
        <f>AA71</f>
        <v>79735.03</v>
      </c>
      <c r="CZ71">
        <f>AE71</f>
        <v>10315.01</v>
      </c>
      <c r="DA71">
        <f>AI71</f>
        <v>7.73</v>
      </c>
      <c r="DB71">
        <f>ROUND(ROUND(AT71*CZ71,2),2)</f>
        <v>1.03</v>
      </c>
      <c r="DC71">
        <f>ROUND(ROUND(AT71*AG71,2),2)</f>
        <v>0</v>
      </c>
    </row>
    <row r="72" spans="1:107" x14ac:dyDescent="0.2">
      <c r="A72">
        <f>ROW(Source!A90)</f>
        <v>90</v>
      </c>
      <c r="B72">
        <v>96554872</v>
      </c>
      <c r="C72">
        <v>96555423</v>
      </c>
      <c r="D72">
        <v>94421586</v>
      </c>
      <c r="E72">
        <v>1</v>
      </c>
      <c r="F72">
        <v>1</v>
      </c>
      <c r="G72">
        <v>1</v>
      </c>
      <c r="H72">
        <v>3</v>
      </c>
      <c r="I72" t="s">
        <v>358</v>
      </c>
      <c r="J72" t="s">
        <v>359</v>
      </c>
      <c r="K72" t="s">
        <v>360</v>
      </c>
      <c r="L72">
        <v>1348</v>
      </c>
      <c r="N72">
        <v>1009</v>
      </c>
      <c r="O72" t="s">
        <v>27</v>
      </c>
      <c r="P72" t="s">
        <v>27</v>
      </c>
      <c r="Q72">
        <v>1000</v>
      </c>
      <c r="W72">
        <v>0</v>
      </c>
      <c r="X72">
        <v>1437833929</v>
      </c>
      <c r="Y72">
        <v>3.0000000000000001E-3</v>
      </c>
      <c r="AA72">
        <v>44864.92</v>
      </c>
      <c r="AB72">
        <v>0</v>
      </c>
      <c r="AC72">
        <v>0</v>
      </c>
      <c r="AD72">
        <v>0</v>
      </c>
      <c r="AE72">
        <v>5804</v>
      </c>
      <c r="AF72">
        <v>0</v>
      </c>
      <c r="AG72">
        <v>0</v>
      </c>
      <c r="AH72">
        <v>0</v>
      </c>
      <c r="AI72">
        <v>7.73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3.0000000000000001E-3</v>
      </c>
      <c r="AU72" t="s">
        <v>3</v>
      </c>
      <c r="AV72">
        <v>0</v>
      </c>
      <c r="AW72">
        <v>2</v>
      </c>
      <c r="AX72">
        <v>96555431</v>
      </c>
      <c r="AY72">
        <v>1</v>
      </c>
      <c r="AZ72">
        <v>0</v>
      </c>
      <c r="BA72">
        <v>74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Y72*Source!I90</f>
        <v>5.1900000000000002E-2</v>
      </c>
      <c r="CY72">
        <f>AA72</f>
        <v>44864.92</v>
      </c>
      <c r="CZ72">
        <f>AE72</f>
        <v>5804</v>
      </c>
      <c r="DA72">
        <f>AI72</f>
        <v>7.73</v>
      </c>
      <c r="DB72">
        <f>ROUND(ROUND(AT72*CZ72,2),2)</f>
        <v>17.41</v>
      </c>
      <c r="DC72">
        <f>ROUND(ROUND(AT72*AG72,2),2)</f>
        <v>0</v>
      </c>
    </row>
    <row r="73" spans="1:107" x14ac:dyDescent="0.2">
      <c r="A73">
        <f>ROW(Source!A90)</f>
        <v>90</v>
      </c>
      <c r="B73">
        <v>96554872</v>
      </c>
      <c r="C73">
        <v>96555423</v>
      </c>
      <c r="D73">
        <v>94422553</v>
      </c>
      <c r="E73">
        <v>1</v>
      </c>
      <c r="F73">
        <v>1</v>
      </c>
      <c r="G73">
        <v>1</v>
      </c>
      <c r="H73">
        <v>3</v>
      </c>
      <c r="I73" t="s">
        <v>199</v>
      </c>
      <c r="J73" t="s">
        <v>201</v>
      </c>
      <c r="K73" t="s">
        <v>200</v>
      </c>
      <c r="L73">
        <v>1327</v>
      </c>
      <c r="N73">
        <v>1005</v>
      </c>
      <c r="O73" t="s">
        <v>134</v>
      </c>
      <c r="P73" t="s">
        <v>134</v>
      </c>
      <c r="Q73">
        <v>1</v>
      </c>
      <c r="W73">
        <v>0</v>
      </c>
      <c r="X73">
        <v>481353277</v>
      </c>
      <c r="Y73">
        <v>1</v>
      </c>
      <c r="AA73">
        <v>6501.16</v>
      </c>
      <c r="AB73">
        <v>0</v>
      </c>
      <c r="AC73">
        <v>0</v>
      </c>
      <c r="AD73">
        <v>0</v>
      </c>
      <c r="AE73">
        <v>841.03</v>
      </c>
      <c r="AF73">
        <v>0</v>
      </c>
      <c r="AG73">
        <v>0</v>
      </c>
      <c r="AH73">
        <v>0</v>
      </c>
      <c r="AI73">
        <v>7.73</v>
      </c>
      <c r="AJ73">
        <v>1</v>
      </c>
      <c r="AK73">
        <v>1</v>
      </c>
      <c r="AL73">
        <v>1</v>
      </c>
      <c r="AN73">
        <v>0</v>
      </c>
      <c r="AO73">
        <v>0</v>
      </c>
      <c r="AP73">
        <v>1</v>
      </c>
      <c r="AQ73">
        <v>0</v>
      </c>
      <c r="AR73">
        <v>0</v>
      </c>
      <c r="AS73" t="s">
        <v>3</v>
      </c>
      <c r="AT73">
        <v>1</v>
      </c>
      <c r="AU73" t="s">
        <v>3</v>
      </c>
      <c r="AV73">
        <v>0</v>
      </c>
      <c r="AW73">
        <v>1</v>
      </c>
      <c r="AX73">
        <v>-1</v>
      </c>
      <c r="AY73">
        <v>0</v>
      </c>
      <c r="AZ73">
        <v>0</v>
      </c>
      <c r="BA73" t="s">
        <v>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Y73*Source!I90</f>
        <v>17.3</v>
      </c>
      <c r="CY73">
        <f>AA73</f>
        <v>6501.16</v>
      </c>
      <c r="CZ73">
        <f>AE73</f>
        <v>841.03</v>
      </c>
      <c r="DA73">
        <f>AI73</f>
        <v>7.73</v>
      </c>
      <c r="DB73">
        <f>ROUND(ROUND(AT73*CZ73,2),2)</f>
        <v>841.03</v>
      </c>
      <c r="DC73">
        <f>ROUND(ROUND(AT73*AG73,2),2)</f>
        <v>0</v>
      </c>
    </row>
    <row r="74" spans="1:107" x14ac:dyDescent="0.2">
      <c r="A74">
        <f>ROW(Source!A90)</f>
        <v>90</v>
      </c>
      <c r="B74">
        <v>96554872</v>
      </c>
      <c r="C74">
        <v>96555423</v>
      </c>
      <c r="D74">
        <v>94433292</v>
      </c>
      <c r="E74">
        <v>1</v>
      </c>
      <c r="F74">
        <v>1</v>
      </c>
      <c r="G74">
        <v>1</v>
      </c>
      <c r="H74">
        <v>3</v>
      </c>
      <c r="I74" t="s">
        <v>361</v>
      </c>
      <c r="J74" t="s">
        <v>362</v>
      </c>
      <c r="K74" t="s">
        <v>363</v>
      </c>
      <c r="L74">
        <v>1371</v>
      </c>
      <c r="N74">
        <v>1013</v>
      </c>
      <c r="O74" t="s">
        <v>205</v>
      </c>
      <c r="P74" t="s">
        <v>205</v>
      </c>
      <c r="Q74">
        <v>1</v>
      </c>
      <c r="W74">
        <v>0</v>
      </c>
      <c r="X74">
        <v>878532218</v>
      </c>
      <c r="Y74">
        <v>0.1</v>
      </c>
      <c r="AA74">
        <v>562.74</v>
      </c>
      <c r="AB74">
        <v>0</v>
      </c>
      <c r="AC74">
        <v>0</v>
      </c>
      <c r="AD74">
        <v>0</v>
      </c>
      <c r="AE74">
        <v>72.8</v>
      </c>
      <c r="AF74">
        <v>0</v>
      </c>
      <c r="AG74">
        <v>0</v>
      </c>
      <c r="AH74">
        <v>0</v>
      </c>
      <c r="AI74">
        <v>7.73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0.1</v>
      </c>
      <c r="AU74" t="s">
        <v>3</v>
      </c>
      <c r="AV74">
        <v>0</v>
      </c>
      <c r="AW74">
        <v>2</v>
      </c>
      <c r="AX74">
        <v>96555432</v>
      </c>
      <c r="AY74">
        <v>1</v>
      </c>
      <c r="AZ74">
        <v>0</v>
      </c>
      <c r="BA74">
        <v>75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Y74*Source!I90</f>
        <v>1.7300000000000002</v>
      </c>
      <c r="CY74">
        <f>AA74</f>
        <v>562.74</v>
      </c>
      <c r="CZ74">
        <f>AE74</f>
        <v>72.8</v>
      </c>
      <c r="DA74">
        <f>AI74</f>
        <v>7.73</v>
      </c>
      <c r="DB74">
        <f>ROUND(ROUND(AT74*CZ74,2),2)</f>
        <v>7.28</v>
      </c>
      <c r="DC74">
        <f>ROUND(ROUND(AT74*AG74,2),2)</f>
        <v>0</v>
      </c>
    </row>
    <row r="75" spans="1:107" x14ac:dyDescent="0.2">
      <c r="A75">
        <f>ROW(Source!A93)</f>
        <v>93</v>
      </c>
      <c r="B75">
        <v>96554872</v>
      </c>
      <c r="C75">
        <v>96555435</v>
      </c>
      <c r="D75">
        <v>94389477</v>
      </c>
      <c r="E75">
        <v>56</v>
      </c>
      <c r="F75">
        <v>1</v>
      </c>
      <c r="G75">
        <v>1</v>
      </c>
      <c r="H75">
        <v>1</v>
      </c>
      <c r="I75" t="s">
        <v>350</v>
      </c>
      <c r="J75" t="s">
        <v>3</v>
      </c>
      <c r="K75" t="s">
        <v>351</v>
      </c>
      <c r="L75">
        <v>1191</v>
      </c>
      <c r="N75">
        <v>1013</v>
      </c>
      <c r="O75" t="s">
        <v>295</v>
      </c>
      <c r="P75" t="s">
        <v>295</v>
      </c>
      <c r="Q75">
        <v>1</v>
      </c>
      <c r="W75">
        <v>0</v>
      </c>
      <c r="X75">
        <v>912892513</v>
      </c>
      <c r="Y75">
        <v>1.2765</v>
      </c>
      <c r="AA75">
        <v>0</v>
      </c>
      <c r="AB75">
        <v>0</v>
      </c>
      <c r="AC75">
        <v>0</v>
      </c>
      <c r="AD75">
        <v>76.680000000000007</v>
      </c>
      <c r="AE75">
        <v>0</v>
      </c>
      <c r="AF75">
        <v>0</v>
      </c>
      <c r="AG75">
        <v>0</v>
      </c>
      <c r="AH75">
        <v>9.92</v>
      </c>
      <c r="AI75">
        <v>1</v>
      </c>
      <c r="AJ75">
        <v>1</v>
      </c>
      <c r="AK75">
        <v>1</v>
      </c>
      <c r="AL75">
        <v>7.73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1.1100000000000001</v>
      </c>
      <c r="AU75" t="s">
        <v>125</v>
      </c>
      <c r="AV75">
        <v>1</v>
      </c>
      <c r="AW75">
        <v>2</v>
      </c>
      <c r="AX75">
        <v>96555436</v>
      </c>
      <c r="AY75">
        <v>1</v>
      </c>
      <c r="AZ75">
        <v>0</v>
      </c>
      <c r="BA75">
        <v>76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Y75*Source!I93</f>
        <v>5.1059999999999999</v>
      </c>
      <c r="CY75">
        <f>AD75</f>
        <v>76.680000000000007</v>
      </c>
      <c r="CZ75">
        <f>AH75</f>
        <v>9.92</v>
      </c>
      <c r="DA75">
        <f>AL75</f>
        <v>7.73</v>
      </c>
      <c r="DB75">
        <f>ROUND((ROUND(AT75*CZ75,2)*1.15),2)</f>
        <v>12.66</v>
      </c>
      <c r="DC75">
        <f>ROUND((ROUND(AT75*AG75,2)*1.15),2)</f>
        <v>0</v>
      </c>
    </row>
    <row r="76" spans="1:107" x14ac:dyDescent="0.2">
      <c r="A76">
        <f>ROW(Source!A93)</f>
        <v>93</v>
      </c>
      <c r="B76">
        <v>96554872</v>
      </c>
      <c r="C76">
        <v>96555435</v>
      </c>
      <c r="D76">
        <v>94551473</v>
      </c>
      <c r="E76">
        <v>1</v>
      </c>
      <c r="F76">
        <v>1</v>
      </c>
      <c r="G76">
        <v>1</v>
      </c>
      <c r="H76">
        <v>2</v>
      </c>
      <c r="I76" t="s">
        <v>352</v>
      </c>
      <c r="J76" t="s">
        <v>353</v>
      </c>
      <c r="K76" t="s">
        <v>354</v>
      </c>
      <c r="L76">
        <v>1368</v>
      </c>
      <c r="N76">
        <v>1011</v>
      </c>
      <c r="O76" t="s">
        <v>301</v>
      </c>
      <c r="P76" t="s">
        <v>301</v>
      </c>
      <c r="Q76">
        <v>1</v>
      </c>
      <c r="W76">
        <v>0</v>
      </c>
      <c r="X76">
        <v>900652632</v>
      </c>
      <c r="Y76">
        <v>0.32500000000000001</v>
      </c>
      <c r="AA76">
        <v>0</v>
      </c>
      <c r="AB76">
        <v>62.61</v>
      </c>
      <c r="AC76">
        <v>0</v>
      </c>
      <c r="AD76">
        <v>0</v>
      </c>
      <c r="AE76">
        <v>0</v>
      </c>
      <c r="AF76">
        <v>8.1</v>
      </c>
      <c r="AG76">
        <v>0</v>
      </c>
      <c r="AH76">
        <v>0</v>
      </c>
      <c r="AI76">
        <v>1</v>
      </c>
      <c r="AJ76">
        <v>7.73</v>
      </c>
      <c r="AK76">
        <v>1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0.26</v>
      </c>
      <c r="AU76" t="s">
        <v>124</v>
      </c>
      <c r="AV76">
        <v>0</v>
      </c>
      <c r="AW76">
        <v>2</v>
      </c>
      <c r="AX76">
        <v>96555437</v>
      </c>
      <c r="AY76">
        <v>1</v>
      </c>
      <c r="AZ76">
        <v>0</v>
      </c>
      <c r="BA76">
        <v>77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Y76*Source!I93</f>
        <v>1.3</v>
      </c>
      <c r="CY76">
        <f>AB76</f>
        <v>62.61</v>
      </c>
      <c r="CZ76">
        <f>AF76</f>
        <v>8.1</v>
      </c>
      <c r="DA76">
        <f>AJ76</f>
        <v>7.73</v>
      </c>
      <c r="DB76">
        <f>ROUND((ROUND(AT76*CZ76,2)*1.25),2)</f>
        <v>2.64</v>
      </c>
      <c r="DC76">
        <f>ROUND((ROUND(AT76*AG76,2)*1.25),2)</f>
        <v>0</v>
      </c>
    </row>
    <row r="77" spans="1:107" x14ac:dyDescent="0.2">
      <c r="A77">
        <f>ROW(Source!A93)</f>
        <v>93</v>
      </c>
      <c r="B77">
        <v>96554872</v>
      </c>
      <c r="C77">
        <v>96555435</v>
      </c>
      <c r="D77">
        <v>94401301</v>
      </c>
      <c r="E77">
        <v>1</v>
      </c>
      <c r="F77">
        <v>1</v>
      </c>
      <c r="G77">
        <v>1</v>
      </c>
      <c r="H77">
        <v>3</v>
      </c>
      <c r="I77" t="s">
        <v>208</v>
      </c>
      <c r="J77" t="s">
        <v>210</v>
      </c>
      <c r="K77" t="s">
        <v>209</v>
      </c>
      <c r="L77">
        <v>1371</v>
      </c>
      <c r="N77">
        <v>1013</v>
      </c>
      <c r="O77" t="s">
        <v>205</v>
      </c>
      <c r="P77" t="s">
        <v>205</v>
      </c>
      <c r="Q77">
        <v>1</v>
      </c>
      <c r="W77">
        <v>0</v>
      </c>
      <c r="X77">
        <v>1868433068</v>
      </c>
      <c r="Y77">
        <v>1</v>
      </c>
      <c r="AA77">
        <v>2869.38</v>
      </c>
      <c r="AB77">
        <v>0</v>
      </c>
      <c r="AC77">
        <v>0</v>
      </c>
      <c r="AD77">
        <v>0</v>
      </c>
      <c r="AE77">
        <v>371.2</v>
      </c>
      <c r="AF77">
        <v>0</v>
      </c>
      <c r="AG77">
        <v>0</v>
      </c>
      <c r="AH77">
        <v>0</v>
      </c>
      <c r="AI77">
        <v>7.73</v>
      </c>
      <c r="AJ77">
        <v>1</v>
      </c>
      <c r="AK77">
        <v>1</v>
      </c>
      <c r="AL77">
        <v>1</v>
      </c>
      <c r="AN77">
        <v>0</v>
      </c>
      <c r="AO77">
        <v>0</v>
      </c>
      <c r="AP77">
        <v>0</v>
      </c>
      <c r="AQ77">
        <v>0</v>
      </c>
      <c r="AR77">
        <v>0</v>
      </c>
      <c r="AS77" t="s">
        <v>3</v>
      </c>
      <c r="AT77">
        <v>1</v>
      </c>
      <c r="AU77" t="s">
        <v>3</v>
      </c>
      <c r="AV77">
        <v>0</v>
      </c>
      <c r="AW77">
        <v>1</v>
      </c>
      <c r="AX77">
        <v>-1</v>
      </c>
      <c r="AY77">
        <v>0</v>
      </c>
      <c r="AZ77">
        <v>0</v>
      </c>
      <c r="BA77" t="s">
        <v>3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Y77*Source!I93</f>
        <v>4</v>
      </c>
      <c r="CY77">
        <f>AA77</f>
        <v>2869.38</v>
      </c>
      <c r="CZ77">
        <f>AE77</f>
        <v>371.2</v>
      </c>
      <c r="DA77">
        <f>AI77</f>
        <v>7.73</v>
      </c>
      <c r="DB77">
        <f>ROUND(ROUND(AT77*CZ77,2),2)</f>
        <v>371.2</v>
      </c>
      <c r="DC77">
        <f>ROUND(ROUND(AT77*AG77,2),2)</f>
        <v>0</v>
      </c>
    </row>
    <row r="78" spans="1:107" x14ac:dyDescent="0.2">
      <c r="A78">
        <f>ROW(Source!A93)</f>
        <v>93</v>
      </c>
      <c r="B78">
        <v>96554872</v>
      </c>
      <c r="C78">
        <v>96555435</v>
      </c>
      <c r="D78">
        <v>94402382</v>
      </c>
      <c r="E78">
        <v>1</v>
      </c>
      <c r="F78">
        <v>1</v>
      </c>
      <c r="G78">
        <v>1</v>
      </c>
      <c r="H78">
        <v>3</v>
      </c>
      <c r="I78" t="s">
        <v>355</v>
      </c>
      <c r="J78" t="s">
        <v>356</v>
      </c>
      <c r="K78" t="s">
        <v>357</v>
      </c>
      <c r="L78">
        <v>1348</v>
      </c>
      <c r="N78">
        <v>1009</v>
      </c>
      <c r="O78" t="s">
        <v>27</v>
      </c>
      <c r="P78" t="s">
        <v>27</v>
      </c>
      <c r="Q78">
        <v>1000</v>
      </c>
      <c r="W78">
        <v>0</v>
      </c>
      <c r="X78">
        <v>1467298708</v>
      </c>
      <c r="Y78">
        <v>6.9999999999999994E-5</v>
      </c>
      <c r="AA78">
        <v>79735.03</v>
      </c>
      <c r="AB78">
        <v>0</v>
      </c>
      <c r="AC78">
        <v>0</v>
      </c>
      <c r="AD78">
        <v>0</v>
      </c>
      <c r="AE78">
        <v>10315.01</v>
      </c>
      <c r="AF78">
        <v>0</v>
      </c>
      <c r="AG78">
        <v>0</v>
      </c>
      <c r="AH78">
        <v>0</v>
      </c>
      <c r="AI78">
        <v>7.73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6.9999999999999994E-5</v>
      </c>
      <c r="AU78" t="s">
        <v>3</v>
      </c>
      <c r="AV78">
        <v>0</v>
      </c>
      <c r="AW78">
        <v>2</v>
      </c>
      <c r="AX78">
        <v>96555439</v>
      </c>
      <c r="AY78">
        <v>1</v>
      </c>
      <c r="AZ78">
        <v>0</v>
      </c>
      <c r="BA78">
        <v>79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Y78*Source!I93</f>
        <v>2.7999999999999998E-4</v>
      </c>
      <c r="CY78">
        <f>AA78</f>
        <v>79735.03</v>
      </c>
      <c r="CZ78">
        <f>AE78</f>
        <v>10315.01</v>
      </c>
      <c r="DA78">
        <f>AI78</f>
        <v>7.73</v>
      </c>
      <c r="DB78">
        <f>ROUND(ROUND(AT78*CZ78,2),2)</f>
        <v>0.72</v>
      </c>
      <c r="DC78">
        <f>ROUND(ROUND(AT78*AG78,2),2)</f>
        <v>0</v>
      </c>
    </row>
    <row r="79" spans="1:107" x14ac:dyDescent="0.2">
      <c r="A79">
        <f>ROW(Source!A93)</f>
        <v>93</v>
      </c>
      <c r="B79">
        <v>96554872</v>
      </c>
      <c r="C79">
        <v>96555435</v>
      </c>
      <c r="D79">
        <v>94403574</v>
      </c>
      <c r="E79">
        <v>1</v>
      </c>
      <c r="F79">
        <v>1</v>
      </c>
      <c r="G79">
        <v>1</v>
      </c>
      <c r="H79">
        <v>3</v>
      </c>
      <c r="I79" t="s">
        <v>364</v>
      </c>
      <c r="J79" t="s">
        <v>365</v>
      </c>
      <c r="K79" t="s">
        <v>366</v>
      </c>
      <c r="L79">
        <v>1425</v>
      </c>
      <c r="N79">
        <v>1013</v>
      </c>
      <c r="O79" t="s">
        <v>36</v>
      </c>
      <c r="P79" t="s">
        <v>36</v>
      </c>
      <c r="Q79">
        <v>1</v>
      </c>
      <c r="W79">
        <v>0</v>
      </c>
      <c r="X79">
        <v>-792001340</v>
      </c>
      <c r="Y79">
        <v>0.08</v>
      </c>
      <c r="AA79">
        <v>154.6</v>
      </c>
      <c r="AB79">
        <v>0</v>
      </c>
      <c r="AC79">
        <v>0</v>
      </c>
      <c r="AD79">
        <v>0</v>
      </c>
      <c r="AE79">
        <v>20</v>
      </c>
      <c r="AF79">
        <v>0</v>
      </c>
      <c r="AG79">
        <v>0</v>
      </c>
      <c r="AH79">
        <v>0</v>
      </c>
      <c r="AI79">
        <v>7.73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0.08</v>
      </c>
      <c r="AU79" t="s">
        <v>3</v>
      </c>
      <c r="AV79">
        <v>0</v>
      </c>
      <c r="AW79">
        <v>2</v>
      </c>
      <c r="AX79">
        <v>96555440</v>
      </c>
      <c r="AY79">
        <v>1</v>
      </c>
      <c r="AZ79">
        <v>0</v>
      </c>
      <c r="BA79">
        <v>80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Y79*Source!I93</f>
        <v>0.32</v>
      </c>
      <c r="CY79">
        <f>AA79</f>
        <v>154.6</v>
      </c>
      <c r="CZ79">
        <f>AE79</f>
        <v>20</v>
      </c>
      <c r="DA79">
        <f>AI79</f>
        <v>7.73</v>
      </c>
      <c r="DB79">
        <f>ROUND(ROUND(AT79*CZ79,2),2)</f>
        <v>1.6</v>
      </c>
      <c r="DC79">
        <f>ROUND(ROUND(AT79*AG79,2),2)</f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0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ROW(Source!A28)</f>
        <v>28</v>
      </c>
      <c r="B1">
        <v>96555065</v>
      </c>
      <c r="C1">
        <v>96555064</v>
      </c>
      <c r="D1">
        <v>94389405</v>
      </c>
      <c r="E1">
        <v>56</v>
      </c>
      <c r="F1">
        <v>1</v>
      </c>
      <c r="G1">
        <v>1</v>
      </c>
      <c r="H1">
        <v>1</v>
      </c>
      <c r="I1" t="s">
        <v>293</v>
      </c>
      <c r="J1" t="s">
        <v>3</v>
      </c>
      <c r="K1" t="s">
        <v>294</v>
      </c>
      <c r="L1">
        <v>1191</v>
      </c>
      <c r="N1">
        <v>1013</v>
      </c>
      <c r="O1" t="s">
        <v>295</v>
      </c>
      <c r="P1" t="s">
        <v>295</v>
      </c>
      <c r="Q1">
        <v>1</v>
      </c>
      <c r="X1">
        <v>94.97</v>
      </c>
      <c r="Y1">
        <v>0</v>
      </c>
      <c r="Z1">
        <v>0</v>
      </c>
      <c r="AA1">
        <v>0</v>
      </c>
      <c r="AB1">
        <v>8.02</v>
      </c>
      <c r="AC1">
        <v>0</v>
      </c>
      <c r="AD1">
        <v>1</v>
      </c>
      <c r="AE1">
        <v>1</v>
      </c>
      <c r="AF1" t="s">
        <v>3</v>
      </c>
      <c r="AG1">
        <v>94.97</v>
      </c>
      <c r="AH1">
        <v>2</v>
      </c>
      <c r="AI1">
        <v>96555065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ROW(Source!A28)</f>
        <v>28</v>
      </c>
      <c r="B2">
        <v>96555066</v>
      </c>
      <c r="C2">
        <v>96555064</v>
      </c>
      <c r="D2">
        <v>94394093</v>
      </c>
      <c r="E2">
        <v>56</v>
      </c>
      <c r="F2">
        <v>1</v>
      </c>
      <c r="G2">
        <v>1</v>
      </c>
      <c r="H2">
        <v>3</v>
      </c>
      <c r="I2" t="s">
        <v>25</v>
      </c>
      <c r="J2" t="s">
        <v>3</v>
      </c>
      <c r="K2" t="s">
        <v>26</v>
      </c>
      <c r="L2">
        <v>1348</v>
      </c>
      <c r="N2">
        <v>1009</v>
      </c>
      <c r="O2" t="s">
        <v>27</v>
      </c>
      <c r="P2" t="s">
        <v>27</v>
      </c>
      <c r="Q2">
        <v>1000</v>
      </c>
      <c r="X2">
        <v>3.5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 t="s">
        <v>3</v>
      </c>
      <c r="AG2">
        <v>3.5</v>
      </c>
      <c r="AH2">
        <v>2</v>
      </c>
      <c r="AI2">
        <v>96555066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ROW(Source!A30)</f>
        <v>30</v>
      </c>
      <c r="B3">
        <v>96555069</v>
      </c>
      <c r="C3">
        <v>96555068</v>
      </c>
      <c r="D3">
        <v>94389405</v>
      </c>
      <c r="E3">
        <v>56</v>
      </c>
      <c r="F3">
        <v>1</v>
      </c>
      <c r="G3">
        <v>1</v>
      </c>
      <c r="H3">
        <v>1</v>
      </c>
      <c r="I3" t="s">
        <v>293</v>
      </c>
      <c r="J3" t="s">
        <v>3</v>
      </c>
      <c r="K3" t="s">
        <v>294</v>
      </c>
      <c r="L3">
        <v>1191</v>
      </c>
      <c r="N3">
        <v>1013</v>
      </c>
      <c r="O3" t="s">
        <v>295</v>
      </c>
      <c r="P3" t="s">
        <v>295</v>
      </c>
      <c r="Q3">
        <v>1</v>
      </c>
      <c r="X3">
        <v>46.11</v>
      </c>
      <c r="Y3">
        <v>0</v>
      </c>
      <c r="Z3">
        <v>0</v>
      </c>
      <c r="AA3">
        <v>0</v>
      </c>
      <c r="AB3">
        <v>8.02</v>
      </c>
      <c r="AC3">
        <v>0</v>
      </c>
      <c r="AD3">
        <v>1</v>
      </c>
      <c r="AE3">
        <v>1</v>
      </c>
      <c r="AF3" t="s">
        <v>3</v>
      </c>
      <c r="AG3">
        <v>46.11</v>
      </c>
      <c r="AH3">
        <v>2</v>
      </c>
      <c r="AI3">
        <v>96555069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ROW(Source!A30)</f>
        <v>30</v>
      </c>
      <c r="B4">
        <v>96555070</v>
      </c>
      <c r="C4">
        <v>96555068</v>
      </c>
      <c r="D4">
        <v>94389608</v>
      </c>
      <c r="E4">
        <v>56</v>
      </c>
      <c r="F4">
        <v>1</v>
      </c>
      <c r="G4">
        <v>1</v>
      </c>
      <c r="H4">
        <v>1</v>
      </c>
      <c r="I4" t="s">
        <v>296</v>
      </c>
      <c r="J4" t="s">
        <v>3</v>
      </c>
      <c r="K4" t="s">
        <v>297</v>
      </c>
      <c r="L4">
        <v>1191</v>
      </c>
      <c r="N4">
        <v>1013</v>
      </c>
      <c r="O4" t="s">
        <v>295</v>
      </c>
      <c r="P4" t="s">
        <v>295</v>
      </c>
      <c r="Q4">
        <v>1</v>
      </c>
      <c r="X4">
        <v>0.93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2</v>
      </c>
      <c r="AF4" t="s">
        <v>3</v>
      </c>
      <c r="AG4">
        <v>0.93</v>
      </c>
      <c r="AH4">
        <v>2</v>
      </c>
      <c r="AI4">
        <v>96555070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ROW(Source!A30)</f>
        <v>30</v>
      </c>
      <c r="B5">
        <v>96555071</v>
      </c>
      <c r="C5">
        <v>96555068</v>
      </c>
      <c r="D5">
        <v>94550530</v>
      </c>
      <c r="E5">
        <v>1</v>
      </c>
      <c r="F5">
        <v>1</v>
      </c>
      <c r="G5">
        <v>1</v>
      </c>
      <c r="H5">
        <v>2</v>
      </c>
      <c r="I5" t="s">
        <v>298</v>
      </c>
      <c r="J5" t="s">
        <v>299</v>
      </c>
      <c r="K5" t="s">
        <v>300</v>
      </c>
      <c r="L5">
        <v>1368</v>
      </c>
      <c r="N5">
        <v>1011</v>
      </c>
      <c r="O5" t="s">
        <v>301</v>
      </c>
      <c r="P5" t="s">
        <v>301</v>
      </c>
      <c r="Q5">
        <v>1</v>
      </c>
      <c r="X5">
        <v>0.93</v>
      </c>
      <c r="Y5">
        <v>0</v>
      </c>
      <c r="Z5">
        <v>31.26</v>
      </c>
      <c r="AA5">
        <v>13.5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0.93</v>
      </c>
      <c r="AH5">
        <v>2</v>
      </c>
      <c r="AI5">
        <v>96555071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ROW(Source!A30)</f>
        <v>30</v>
      </c>
      <c r="B6">
        <v>96555072</v>
      </c>
      <c r="C6">
        <v>96555068</v>
      </c>
      <c r="D6">
        <v>94394093</v>
      </c>
      <c r="E6">
        <v>56</v>
      </c>
      <c r="F6">
        <v>1</v>
      </c>
      <c r="G6">
        <v>1</v>
      </c>
      <c r="H6">
        <v>3</v>
      </c>
      <c r="I6" t="s">
        <v>25</v>
      </c>
      <c r="J6" t="s">
        <v>3</v>
      </c>
      <c r="K6" t="s">
        <v>26</v>
      </c>
      <c r="L6">
        <v>1348</v>
      </c>
      <c r="N6">
        <v>1009</v>
      </c>
      <c r="O6" t="s">
        <v>27</v>
      </c>
      <c r="P6" t="s">
        <v>27</v>
      </c>
      <c r="Q6">
        <v>1000</v>
      </c>
      <c r="X6">
        <v>3.42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 t="s">
        <v>3</v>
      </c>
      <c r="AG6">
        <v>3.42</v>
      </c>
      <c r="AH6">
        <v>2</v>
      </c>
      <c r="AI6">
        <v>96555072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ROW(Source!A32)</f>
        <v>32</v>
      </c>
      <c r="B7">
        <v>96555075</v>
      </c>
      <c r="C7">
        <v>96555074</v>
      </c>
      <c r="D7">
        <v>94389409</v>
      </c>
      <c r="E7">
        <v>56</v>
      </c>
      <c r="F7">
        <v>1</v>
      </c>
      <c r="G7">
        <v>1</v>
      </c>
      <c r="H7">
        <v>1</v>
      </c>
      <c r="I7" t="s">
        <v>302</v>
      </c>
      <c r="J7" t="s">
        <v>3</v>
      </c>
      <c r="K7" t="s">
        <v>303</v>
      </c>
      <c r="L7">
        <v>1191</v>
      </c>
      <c r="N7">
        <v>1013</v>
      </c>
      <c r="O7" t="s">
        <v>295</v>
      </c>
      <c r="P7" t="s">
        <v>295</v>
      </c>
      <c r="Q7">
        <v>1</v>
      </c>
      <c r="X7">
        <v>128.72999999999999</v>
      </c>
      <c r="Y7">
        <v>0</v>
      </c>
      <c r="Z7">
        <v>0</v>
      </c>
      <c r="AA7">
        <v>0</v>
      </c>
      <c r="AB7">
        <v>8.17</v>
      </c>
      <c r="AC7">
        <v>0</v>
      </c>
      <c r="AD7">
        <v>1</v>
      </c>
      <c r="AE7">
        <v>1</v>
      </c>
      <c r="AF7" t="s">
        <v>3</v>
      </c>
      <c r="AG7">
        <v>128.72999999999999</v>
      </c>
      <c r="AH7">
        <v>2</v>
      </c>
      <c r="AI7">
        <v>96555075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ROW(Source!A32)</f>
        <v>32</v>
      </c>
      <c r="B8">
        <v>96555076</v>
      </c>
      <c r="C8">
        <v>96555074</v>
      </c>
      <c r="D8">
        <v>94389608</v>
      </c>
      <c r="E8">
        <v>56</v>
      </c>
      <c r="F8">
        <v>1</v>
      </c>
      <c r="G8">
        <v>1</v>
      </c>
      <c r="H8">
        <v>1</v>
      </c>
      <c r="I8" t="s">
        <v>296</v>
      </c>
      <c r="J8" t="s">
        <v>3</v>
      </c>
      <c r="K8" t="s">
        <v>297</v>
      </c>
      <c r="L8">
        <v>1191</v>
      </c>
      <c r="N8">
        <v>1013</v>
      </c>
      <c r="O8" t="s">
        <v>295</v>
      </c>
      <c r="P8" t="s">
        <v>295</v>
      </c>
      <c r="Q8">
        <v>1</v>
      </c>
      <c r="X8">
        <v>0.7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2</v>
      </c>
      <c r="AF8" t="s">
        <v>3</v>
      </c>
      <c r="AG8">
        <v>0.7</v>
      </c>
      <c r="AH8">
        <v>2</v>
      </c>
      <c r="AI8">
        <v>96555076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ROW(Source!A32)</f>
        <v>32</v>
      </c>
      <c r="B9">
        <v>96555077</v>
      </c>
      <c r="C9">
        <v>96555074</v>
      </c>
      <c r="D9">
        <v>94550530</v>
      </c>
      <c r="E9">
        <v>1</v>
      </c>
      <c r="F9">
        <v>1</v>
      </c>
      <c r="G9">
        <v>1</v>
      </c>
      <c r="H9">
        <v>2</v>
      </c>
      <c r="I9" t="s">
        <v>298</v>
      </c>
      <c r="J9" t="s">
        <v>299</v>
      </c>
      <c r="K9" t="s">
        <v>300</v>
      </c>
      <c r="L9">
        <v>1368</v>
      </c>
      <c r="N9">
        <v>1011</v>
      </c>
      <c r="O9" t="s">
        <v>301</v>
      </c>
      <c r="P9" t="s">
        <v>301</v>
      </c>
      <c r="Q9">
        <v>1</v>
      </c>
      <c r="X9">
        <v>0.7</v>
      </c>
      <c r="Y9">
        <v>0</v>
      </c>
      <c r="Z9">
        <v>31.26</v>
      </c>
      <c r="AA9">
        <v>13.5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0.7</v>
      </c>
      <c r="AH9">
        <v>2</v>
      </c>
      <c r="AI9">
        <v>96555077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ROW(Source!A32)</f>
        <v>32</v>
      </c>
      <c r="B10">
        <v>96555078</v>
      </c>
      <c r="C10">
        <v>96555074</v>
      </c>
      <c r="D10">
        <v>94551495</v>
      </c>
      <c r="E10">
        <v>1</v>
      </c>
      <c r="F10">
        <v>1</v>
      </c>
      <c r="G10">
        <v>1</v>
      </c>
      <c r="H10">
        <v>2</v>
      </c>
      <c r="I10" t="s">
        <v>304</v>
      </c>
      <c r="J10" t="s">
        <v>305</v>
      </c>
      <c r="K10" t="s">
        <v>306</v>
      </c>
      <c r="L10">
        <v>1368</v>
      </c>
      <c r="N10">
        <v>1011</v>
      </c>
      <c r="O10" t="s">
        <v>301</v>
      </c>
      <c r="P10" t="s">
        <v>301</v>
      </c>
      <c r="Q10">
        <v>1</v>
      </c>
      <c r="X10">
        <v>1.45</v>
      </c>
      <c r="Y10">
        <v>0</v>
      </c>
      <c r="Z10">
        <v>48.81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1.45</v>
      </c>
      <c r="AH10">
        <v>2</v>
      </c>
      <c r="AI10">
        <v>96555078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ROW(Source!A32)</f>
        <v>32</v>
      </c>
      <c r="B11">
        <v>96555079</v>
      </c>
      <c r="C11">
        <v>96555074</v>
      </c>
      <c r="D11">
        <v>94551947</v>
      </c>
      <c r="E11">
        <v>1</v>
      </c>
      <c r="F11">
        <v>1</v>
      </c>
      <c r="G11">
        <v>1</v>
      </c>
      <c r="H11">
        <v>2</v>
      </c>
      <c r="I11" t="s">
        <v>307</v>
      </c>
      <c r="J11" t="s">
        <v>308</v>
      </c>
      <c r="K11" t="s">
        <v>309</v>
      </c>
      <c r="L11">
        <v>1368</v>
      </c>
      <c r="N11">
        <v>1011</v>
      </c>
      <c r="O11" t="s">
        <v>301</v>
      </c>
      <c r="P11" t="s">
        <v>301</v>
      </c>
      <c r="Q11">
        <v>1</v>
      </c>
      <c r="X11">
        <v>2.89</v>
      </c>
      <c r="Y11">
        <v>0</v>
      </c>
      <c r="Z11">
        <v>1.53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2.89</v>
      </c>
      <c r="AH11">
        <v>2</v>
      </c>
      <c r="AI11">
        <v>96555079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ROW(Source!A32)</f>
        <v>32</v>
      </c>
      <c r="B12">
        <v>96555080</v>
      </c>
      <c r="C12">
        <v>96555074</v>
      </c>
      <c r="D12">
        <v>94394093</v>
      </c>
      <c r="E12">
        <v>56</v>
      </c>
      <c r="F12">
        <v>1</v>
      </c>
      <c r="G12">
        <v>1</v>
      </c>
      <c r="H12">
        <v>3</v>
      </c>
      <c r="I12" t="s">
        <v>25</v>
      </c>
      <c r="J12" t="s">
        <v>3</v>
      </c>
      <c r="K12" t="s">
        <v>26</v>
      </c>
      <c r="L12">
        <v>1348</v>
      </c>
      <c r="N12">
        <v>1009</v>
      </c>
      <c r="O12" t="s">
        <v>27</v>
      </c>
      <c r="P12" t="s">
        <v>27</v>
      </c>
      <c r="Q12">
        <v>1000</v>
      </c>
      <c r="X12">
        <v>10.66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 t="s">
        <v>3</v>
      </c>
      <c r="AG12">
        <v>10.66</v>
      </c>
      <c r="AH12">
        <v>2</v>
      </c>
      <c r="AI12">
        <v>96555080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ROW(Source!A34)</f>
        <v>34</v>
      </c>
      <c r="B13">
        <v>96555096</v>
      </c>
      <c r="C13">
        <v>96555095</v>
      </c>
      <c r="D13">
        <v>94389401</v>
      </c>
      <c r="E13">
        <v>56</v>
      </c>
      <c r="F13">
        <v>1</v>
      </c>
      <c r="G13">
        <v>1</v>
      </c>
      <c r="H13">
        <v>1</v>
      </c>
      <c r="I13" t="s">
        <v>310</v>
      </c>
      <c r="J13" t="s">
        <v>3</v>
      </c>
      <c r="K13" t="s">
        <v>311</v>
      </c>
      <c r="L13">
        <v>1191</v>
      </c>
      <c r="N13">
        <v>1013</v>
      </c>
      <c r="O13" t="s">
        <v>295</v>
      </c>
      <c r="P13" t="s">
        <v>295</v>
      </c>
      <c r="Q13">
        <v>1</v>
      </c>
      <c r="X13">
        <v>4.21</v>
      </c>
      <c r="Y13">
        <v>0</v>
      </c>
      <c r="Z13">
        <v>0</v>
      </c>
      <c r="AA13">
        <v>0</v>
      </c>
      <c r="AB13">
        <v>7.94</v>
      </c>
      <c r="AC13">
        <v>0</v>
      </c>
      <c r="AD13">
        <v>1</v>
      </c>
      <c r="AE13">
        <v>1</v>
      </c>
      <c r="AF13" t="s">
        <v>3</v>
      </c>
      <c r="AG13">
        <v>4.21</v>
      </c>
      <c r="AH13">
        <v>2</v>
      </c>
      <c r="AI13">
        <v>96555096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ROW(Source!A34)</f>
        <v>34</v>
      </c>
      <c r="B14">
        <v>96555097</v>
      </c>
      <c r="C14">
        <v>96555095</v>
      </c>
      <c r="D14">
        <v>94394093</v>
      </c>
      <c r="E14">
        <v>56</v>
      </c>
      <c r="F14">
        <v>1</v>
      </c>
      <c r="G14">
        <v>1</v>
      </c>
      <c r="H14">
        <v>3</v>
      </c>
      <c r="I14" t="s">
        <v>25</v>
      </c>
      <c r="J14" t="s">
        <v>3</v>
      </c>
      <c r="K14" t="s">
        <v>26</v>
      </c>
      <c r="L14">
        <v>1348</v>
      </c>
      <c r="N14">
        <v>1009</v>
      </c>
      <c r="O14" t="s">
        <v>27</v>
      </c>
      <c r="P14" t="s">
        <v>27</v>
      </c>
      <c r="Q14">
        <v>1000</v>
      </c>
      <c r="X14">
        <v>0.4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 t="s">
        <v>3</v>
      </c>
      <c r="AG14">
        <v>0.4</v>
      </c>
      <c r="AH14">
        <v>2</v>
      </c>
      <c r="AI14">
        <v>96555097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ROW(Source!A36)</f>
        <v>36</v>
      </c>
      <c r="B15">
        <v>96555100</v>
      </c>
      <c r="C15">
        <v>96555099</v>
      </c>
      <c r="D15">
        <v>94389401</v>
      </c>
      <c r="E15">
        <v>56</v>
      </c>
      <c r="F15">
        <v>1</v>
      </c>
      <c r="G15">
        <v>1</v>
      </c>
      <c r="H15">
        <v>1</v>
      </c>
      <c r="I15" t="s">
        <v>310</v>
      </c>
      <c r="J15" t="s">
        <v>3</v>
      </c>
      <c r="K15" t="s">
        <v>311</v>
      </c>
      <c r="L15">
        <v>1191</v>
      </c>
      <c r="N15">
        <v>1013</v>
      </c>
      <c r="O15" t="s">
        <v>295</v>
      </c>
      <c r="P15" t="s">
        <v>295</v>
      </c>
      <c r="Q15">
        <v>1</v>
      </c>
      <c r="X15">
        <v>36.28</v>
      </c>
      <c r="Y15">
        <v>0</v>
      </c>
      <c r="Z15">
        <v>0</v>
      </c>
      <c r="AA15">
        <v>0</v>
      </c>
      <c r="AB15">
        <v>7.94</v>
      </c>
      <c r="AC15">
        <v>0</v>
      </c>
      <c r="AD15">
        <v>1</v>
      </c>
      <c r="AE15">
        <v>1</v>
      </c>
      <c r="AF15" t="s">
        <v>3</v>
      </c>
      <c r="AG15">
        <v>36.28</v>
      </c>
      <c r="AH15">
        <v>2</v>
      </c>
      <c r="AI15">
        <v>96555100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ROW(Source!A36)</f>
        <v>36</v>
      </c>
      <c r="B16">
        <v>96555101</v>
      </c>
      <c r="C16">
        <v>96555099</v>
      </c>
      <c r="D16">
        <v>94394093</v>
      </c>
      <c r="E16">
        <v>56</v>
      </c>
      <c r="F16">
        <v>1</v>
      </c>
      <c r="G16">
        <v>1</v>
      </c>
      <c r="H16">
        <v>3</v>
      </c>
      <c r="I16" t="s">
        <v>25</v>
      </c>
      <c r="J16" t="s">
        <v>3</v>
      </c>
      <c r="K16" t="s">
        <v>26</v>
      </c>
      <c r="L16">
        <v>1348</v>
      </c>
      <c r="N16">
        <v>1009</v>
      </c>
      <c r="O16" t="s">
        <v>27</v>
      </c>
      <c r="P16" t="s">
        <v>27</v>
      </c>
      <c r="Q16">
        <v>1000</v>
      </c>
      <c r="X16">
        <v>1.18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 t="s">
        <v>3</v>
      </c>
      <c r="AG16">
        <v>1.18</v>
      </c>
      <c r="AH16">
        <v>2</v>
      </c>
      <c r="AI16">
        <v>96555101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ROW(Source!A38)</f>
        <v>38</v>
      </c>
      <c r="B17">
        <v>96555104</v>
      </c>
      <c r="C17">
        <v>96555103</v>
      </c>
      <c r="D17">
        <v>94389405</v>
      </c>
      <c r="E17">
        <v>56</v>
      </c>
      <c r="F17">
        <v>1</v>
      </c>
      <c r="G17">
        <v>1</v>
      </c>
      <c r="H17">
        <v>1</v>
      </c>
      <c r="I17" t="s">
        <v>293</v>
      </c>
      <c r="J17" t="s">
        <v>3</v>
      </c>
      <c r="K17" t="s">
        <v>294</v>
      </c>
      <c r="L17">
        <v>1191</v>
      </c>
      <c r="N17">
        <v>1013</v>
      </c>
      <c r="O17" t="s">
        <v>295</v>
      </c>
      <c r="P17" t="s">
        <v>295</v>
      </c>
      <c r="Q17">
        <v>1</v>
      </c>
      <c r="X17">
        <v>179.3</v>
      </c>
      <c r="Y17">
        <v>0</v>
      </c>
      <c r="Z17">
        <v>0</v>
      </c>
      <c r="AA17">
        <v>0</v>
      </c>
      <c r="AB17">
        <v>8.02</v>
      </c>
      <c r="AC17">
        <v>0</v>
      </c>
      <c r="AD17">
        <v>1</v>
      </c>
      <c r="AE17">
        <v>1</v>
      </c>
      <c r="AF17" t="s">
        <v>3</v>
      </c>
      <c r="AG17">
        <v>179.3</v>
      </c>
      <c r="AH17">
        <v>2</v>
      </c>
      <c r="AI17">
        <v>96555104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ROW(Source!A38)</f>
        <v>38</v>
      </c>
      <c r="B18">
        <v>96555105</v>
      </c>
      <c r="C18">
        <v>96555103</v>
      </c>
      <c r="D18">
        <v>94551495</v>
      </c>
      <c r="E18">
        <v>1</v>
      </c>
      <c r="F18">
        <v>1</v>
      </c>
      <c r="G18">
        <v>1</v>
      </c>
      <c r="H18">
        <v>2</v>
      </c>
      <c r="I18" t="s">
        <v>304</v>
      </c>
      <c r="J18" t="s">
        <v>305</v>
      </c>
      <c r="K18" t="s">
        <v>306</v>
      </c>
      <c r="L18">
        <v>1368</v>
      </c>
      <c r="N18">
        <v>1011</v>
      </c>
      <c r="O18" t="s">
        <v>301</v>
      </c>
      <c r="P18" t="s">
        <v>301</v>
      </c>
      <c r="Q18">
        <v>1</v>
      </c>
      <c r="X18">
        <v>3.97</v>
      </c>
      <c r="Y18">
        <v>0</v>
      </c>
      <c r="Z18">
        <v>48.81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3.97</v>
      </c>
      <c r="AH18">
        <v>2</v>
      </c>
      <c r="AI18">
        <v>96555105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ROW(Source!A38)</f>
        <v>38</v>
      </c>
      <c r="B19">
        <v>96555106</v>
      </c>
      <c r="C19">
        <v>96555103</v>
      </c>
      <c r="D19">
        <v>94551947</v>
      </c>
      <c r="E19">
        <v>1</v>
      </c>
      <c r="F19">
        <v>1</v>
      </c>
      <c r="G19">
        <v>1</v>
      </c>
      <c r="H19">
        <v>2</v>
      </c>
      <c r="I19" t="s">
        <v>307</v>
      </c>
      <c r="J19" t="s">
        <v>308</v>
      </c>
      <c r="K19" t="s">
        <v>309</v>
      </c>
      <c r="L19">
        <v>1368</v>
      </c>
      <c r="N19">
        <v>1011</v>
      </c>
      <c r="O19" t="s">
        <v>301</v>
      </c>
      <c r="P19" t="s">
        <v>301</v>
      </c>
      <c r="Q19">
        <v>1</v>
      </c>
      <c r="X19">
        <v>7.93</v>
      </c>
      <c r="Y19">
        <v>0</v>
      </c>
      <c r="Z19">
        <v>1.53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7.93</v>
      </c>
      <c r="AH19">
        <v>2</v>
      </c>
      <c r="AI19">
        <v>96555106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ROW(Source!A38)</f>
        <v>38</v>
      </c>
      <c r="B20">
        <v>96555107</v>
      </c>
      <c r="C20">
        <v>96555103</v>
      </c>
      <c r="D20">
        <v>94394093</v>
      </c>
      <c r="E20">
        <v>56</v>
      </c>
      <c r="F20">
        <v>1</v>
      </c>
      <c r="G20">
        <v>1</v>
      </c>
      <c r="H20">
        <v>3</v>
      </c>
      <c r="I20" t="s">
        <v>25</v>
      </c>
      <c r="J20" t="s">
        <v>3</v>
      </c>
      <c r="K20" t="s">
        <v>26</v>
      </c>
      <c r="L20">
        <v>1348</v>
      </c>
      <c r="N20">
        <v>1009</v>
      </c>
      <c r="O20" t="s">
        <v>27</v>
      </c>
      <c r="P20" t="s">
        <v>27</v>
      </c>
      <c r="Q20">
        <v>1000</v>
      </c>
      <c r="X20">
        <v>10.5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 t="s">
        <v>3</v>
      </c>
      <c r="AG20">
        <v>10.5</v>
      </c>
      <c r="AH20">
        <v>2</v>
      </c>
      <c r="AI20">
        <v>96555107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ROW(Source!A75)</f>
        <v>75</v>
      </c>
      <c r="B21">
        <v>96555083</v>
      </c>
      <c r="C21">
        <v>96555082</v>
      </c>
      <c r="D21">
        <v>94389427</v>
      </c>
      <c r="E21">
        <v>56</v>
      </c>
      <c r="F21">
        <v>1</v>
      </c>
      <c r="G21">
        <v>1</v>
      </c>
      <c r="H21">
        <v>1</v>
      </c>
      <c r="I21" t="s">
        <v>312</v>
      </c>
      <c r="J21" t="s">
        <v>3</v>
      </c>
      <c r="K21" t="s">
        <v>313</v>
      </c>
      <c r="L21">
        <v>1191</v>
      </c>
      <c r="N21">
        <v>1013</v>
      </c>
      <c r="O21" t="s">
        <v>295</v>
      </c>
      <c r="P21" t="s">
        <v>295</v>
      </c>
      <c r="Q21">
        <v>1</v>
      </c>
      <c r="X21">
        <v>41.41</v>
      </c>
      <c r="Y21">
        <v>0</v>
      </c>
      <c r="Z21">
        <v>0</v>
      </c>
      <c r="AA21">
        <v>0</v>
      </c>
      <c r="AB21">
        <v>8.5299999999999994</v>
      </c>
      <c r="AC21">
        <v>0</v>
      </c>
      <c r="AD21">
        <v>1</v>
      </c>
      <c r="AE21">
        <v>1</v>
      </c>
      <c r="AF21" t="s">
        <v>3</v>
      </c>
      <c r="AG21">
        <v>41.41</v>
      </c>
      <c r="AH21">
        <v>2</v>
      </c>
      <c r="AI21">
        <v>96555083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ROW(Source!A75)</f>
        <v>75</v>
      </c>
      <c r="B22">
        <v>96555084</v>
      </c>
      <c r="C22">
        <v>96555082</v>
      </c>
      <c r="D22">
        <v>94389608</v>
      </c>
      <c r="E22">
        <v>56</v>
      </c>
      <c r="F22">
        <v>1</v>
      </c>
      <c r="G22">
        <v>1</v>
      </c>
      <c r="H22">
        <v>1</v>
      </c>
      <c r="I22" t="s">
        <v>296</v>
      </c>
      <c r="J22" t="s">
        <v>3</v>
      </c>
      <c r="K22" t="s">
        <v>297</v>
      </c>
      <c r="L22">
        <v>1191</v>
      </c>
      <c r="N22">
        <v>1013</v>
      </c>
      <c r="O22" t="s">
        <v>295</v>
      </c>
      <c r="P22" t="s">
        <v>295</v>
      </c>
      <c r="Q22">
        <v>1</v>
      </c>
      <c r="X22">
        <v>0.12</v>
      </c>
      <c r="Y22">
        <v>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2</v>
      </c>
      <c r="AF22" t="s">
        <v>3</v>
      </c>
      <c r="AG22">
        <v>0.12</v>
      </c>
      <c r="AH22">
        <v>2</v>
      </c>
      <c r="AI22">
        <v>96555084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ROW(Source!A75)</f>
        <v>75</v>
      </c>
      <c r="B23">
        <v>96555085</v>
      </c>
      <c r="C23">
        <v>96555082</v>
      </c>
      <c r="D23">
        <v>94550530</v>
      </c>
      <c r="E23">
        <v>1</v>
      </c>
      <c r="F23">
        <v>1</v>
      </c>
      <c r="G23">
        <v>1</v>
      </c>
      <c r="H23">
        <v>2</v>
      </c>
      <c r="I23" t="s">
        <v>298</v>
      </c>
      <c r="J23" t="s">
        <v>299</v>
      </c>
      <c r="K23" t="s">
        <v>300</v>
      </c>
      <c r="L23">
        <v>1368</v>
      </c>
      <c r="N23">
        <v>1011</v>
      </c>
      <c r="O23" t="s">
        <v>301</v>
      </c>
      <c r="P23" t="s">
        <v>301</v>
      </c>
      <c r="Q23">
        <v>1</v>
      </c>
      <c r="X23">
        <v>0.08</v>
      </c>
      <c r="Y23">
        <v>0</v>
      </c>
      <c r="Z23">
        <v>31.26</v>
      </c>
      <c r="AA23">
        <v>13.5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0.08</v>
      </c>
      <c r="AH23">
        <v>2</v>
      </c>
      <c r="AI23">
        <v>96555085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ROW(Source!A75)</f>
        <v>75</v>
      </c>
      <c r="B24">
        <v>96555086</v>
      </c>
      <c r="C24">
        <v>96555082</v>
      </c>
      <c r="D24">
        <v>94551263</v>
      </c>
      <c r="E24">
        <v>1</v>
      </c>
      <c r="F24">
        <v>1</v>
      </c>
      <c r="G24">
        <v>1</v>
      </c>
      <c r="H24">
        <v>2</v>
      </c>
      <c r="I24" t="s">
        <v>314</v>
      </c>
      <c r="J24" t="s">
        <v>315</v>
      </c>
      <c r="K24" t="s">
        <v>316</v>
      </c>
      <c r="L24">
        <v>1368</v>
      </c>
      <c r="N24">
        <v>1011</v>
      </c>
      <c r="O24" t="s">
        <v>301</v>
      </c>
      <c r="P24" t="s">
        <v>301</v>
      </c>
      <c r="Q24">
        <v>1</v>
      </c>
      <c r="X24">
        <v>0.04</v>
      </c>
      <c r="Y24">
        <v>0</v>
      </c>
      <c r="Z24">
        <v>65.709999999999994</v>
      </c>
      <c r="AA24">
        <v>11.6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0.04</v>
      </c>
      <c r="AH24">
        <v>2</v>
      </c>
      <c r="AI24">
        <v>96555086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ROW(Source!A75)</f>
        <v>75</v>
      </c>
      <c r="B25">
        <v>96555087</v>
      </c>
      <c r="C25">
        <v>96555082</v>
      </c>
      <c r="D25">
        <v>94403635</v>
      </c>
      <c r="E25">
        <v>1</v>
      </c>
      <c r="F25">
        <v>1</v>
      </c>
      <c r="G25">
        <v>1</v>
      </c>
      <c r="H25">
        <v>3</v>
      </c>
      <c r="I25" t="s">
        <v>317</v>
      </c>
      <c r="J25" t="s">
        <v>318</v>
      </c>
      <c r="K25" t="s">
        <v>319</v>
      </c>
      <c r="L25">
        <v>1348</v>
      </c>
      <c r="N25">
        <v>1009</v>
      </c>
      <c r="O25" t="s">
        <v>27</v>
      </c>
      <c r="P25" t="s">
        <v>27</v>
      </c>
      <c r="Q25">
        <v>1000</v>
      </c>
      <c r="X25">
        <v>4.0000000000000001E-3</v>
      </c>
      <c r="Y25">
        <v>11978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4.0000000000000001E-3</v>
      </c>
      <c r="AH25">
        <v>2</v>
      </c>
      <c r="AI25">
        <v>96555087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ROW(Source!A75)</f>
        <v>75</v>
      </c>
      <c r="B26">
        <v>96555088</v>
      </c>
      <c r="C26">
        <v>96555082</v>
      </c>
      <c r="D26">
        <v>94420742</v>
      </c>
      <c r="E26">
        <v>1</v>
      </c>
      <c r="F26">
        <v>1</v>
      </c>
      <c r="G26">
        <v>1</v>
      </c>
      <c r="H26">
        <v>3</v>
      </c>
      <c r="I26" t="s">
        <v>320</v>
      </c>
      <c r="J26" t="s">
        <v>321</v>
      </c>
      <c r="K26" t="s">
        <v>322</v>
      </c>
      <c r="L26">
        <v>1348</v>
      </c>
      <c r="N26">
        <v>1009</v>
      </c>
      <c r="O26" t="s">
        <v>27</v>
      </c>
      <c r="P26" t="s">
        <v>27</v>
      </c>
      <c r="Q26">
        <v>1000</v>
      </c>
      <c r="X26">
        <v>6.0000000000000001E-3</v>
      </c>
      <c r="Y26">
        <v>8023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6.0000000000000001E-3</v>
      </c>
      <c r="AH26">
        <v>2</v>
      </c>
      <c r="AI26">
        <v>96555088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ROW(Source!A75)</f>
        <v>75</v>
      </c>
      <c r="B27">
        <v>96555089</v>
      </c>
      <c r="C27">
        <v>96555082</v>
      </c>
      <c r="D27">
        <v>94391561</v>
      </c>
      <c r="E27">
        <v>56</v>
      </c>
      <c r="F27">
        <v>1</v>
      </c>
      <c r="G27">
        <v>1</v>
      </c>
      <c r="H27">
        <v>3</v>
      </c>
      <c r="I27" t="s">
        <v>367</v>
      </c>
      <c r="J27" t="s">
        <v>3</v>
      </c>
      <c r="K27" t="s">
        <v>368</v>
      </c>
      <c r="L27">
        <v>1348</v>
      </c>
      <c r="N27">
        <v>1009</v>
      </c>
      <c r="O27" t="s">
        <v>27</v>
      </c>
      <c r="P27" t="s">
        <v>27</v>
      </c>
      <c r="Q27">
        <v>1000</v>
      </c>
      <c r="X27">
        <v>0.184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 t="s">
        <v>3</v>
      </c>
      <c r="AG27">
        <v>0.184</v>
      </c>
      <c r="AH27">
        <v>3</v>
      </c>
      <c r="AI27">
        <v>-1</v>
      </c>
      <c r="AJ27" t="s">
        <v>3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ROW(Source!A75)</f>
        <v>75</v>
      </c>
      <c r="B28">
        <v>96555090</v>
      </c>
      <c r="C28">
        <v>96555082</v>
      </c>
      <c r="D28">
        <v>94394093</v>
      </c>
      <c r="E28">
        <v>56</v>
      </c>
      <c r="F28">
        <v>1</v>
      </c>
      <c r="G28">
        <v>1</v>
      </c>
      <c r="H28">
        <v>3</v>
      </c>
      <c r="I28" t="s">
        <v>25</v>
      </c>
      <c r="J28" t="s">
        <v>3</v>
      </c>
      <c r="K28" t="s">
        <v>26</v>
      </c>
      <c r="L28">
        <v>1348</v>
      </c>
      <c r="N28">
        <v>1009</v>
      </c>
      <c r="O28" t="s">
        <v>27</v>
      </c>
      <c r="P28" t="s">
        <v>27</v>
      </c>
      <c r="Q28">
        <v>1000</v>
      </c>
      <c r="X28">
        <v>0.224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 t="s">
        <v>3</v>
      </c>
      <c r="AG28">
        <v>0.224</v>
      </c>
      <c r="AH28">
        <v>2</v>
      </c>
      <c r="AI28">
        <v>96555090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ROW(Source!A78)</f>
        <v>78</v>
      </c>
      <c r="B29">
        <v>96555112</v>
      </c>
      <c r="C29">
        <v>96555111</v>
      </c>
      <c r="D29">
        <v>94389431</v>
      </c>
      <c r="E29">
        <v>56</v>
      </c>
      <c r="F29">
        <v>1</v>
      </c>
      <c r="G29">
        <v>1</v>
      </c>
      <c r="H29">
        <v>1</v>
      </c>
      <c r="I29" t="s">
        <v>323</v>
      </c>
      <c r="J29" t="s">
        <v>3</v>
      </c>
      <c r="K29" t="s">
        <v>324</v>
      </c>
      <c r="L29">
        <v>1191</v>
      </c>
      <c r="N29">
        <v>1013</v>
      </c>
      <c r="O29" t="s">
        <v>295</v>
      </c>
      <c r="P29" t="s">
        <v>295</v>
      </c>
      <c r="Q29">
        <v>1</v>
      </c>
      <c r="X29">
        <v>145.19</v>
      </c>
      <c r="Y29">
        <v>0</v>
      </c>
      <c r="Z29">
        <v>0</v>
      </c>
      <c r="AA29">
        <v>0</v>
      </c>
      <c r="AB29">
        <v>8.74</v>
      </c>
      <c r="AC29">
        <v>0</v>
      </c>
      <c r="AD29">
        <v>1</v>
      </c>
      <c r="AE29">
        <v>1</v>
      </c>
      <c r="AF29" t="s">
        <v>125</v>
      </c>
      <c r="AG29">
        <v>166.96849999999998</v>
      </c>
      <c r="AH29">
        <v>2</v>
      </c>
      <c r="AI29">
        <v>96555112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ROW(Source!A78)</f>
        <v>78</v>
      </c>
      <c r="B30">
        <v>96555113</v>
      </c>
      <c r="C30">
        <v>96555111</v>
      </c>
      <c r="D30">
        <v>94389608</v>
      </c>
      <c r="E30">
        <v>56</v>
      </c>
      <c r="F30">
        <v>1</v>
      </c>
      <c r="G30">
        <v>1</v>
      </c>
      <c r="H30">
        <v>1</v>
      </c>
      <c r="I30" t="s">
        <v>296</v>
      </c>
      <c r="J30" t="s">
        <v>3</v>
      </c>
      <c r="K30" t="s">
        <v>297</v>
      </c>
      <c r="L30">
        <v>1191</v>
      </c>
      <c r="N30">
        <v>1013</v>
      </c>
      <c r="O30" t="s">
        <v>295</v>
      </c>
      <c r="P30" t="s">
        <v>295</v>
      </c>
      <c r="Q30">
        <v>1</v>
      </c>
      <c r="X30">
        <v>3.94</v>
      </c>
      <c r="Y30">
        <v>0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2</v>
      </c>
      <c r="AF30" t="s">
        <v>124</v>
      </c>
      <c r="AG30">
        <v>4.9249999999999998</v>
      </c>
      <c r="AH30">
        <v>2</v>
      </c>
      <c r="AI30">
        <v>96555113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ROW(Source!A78)</f>
        <v>78</v>
      </c>
      <c r="B31">
        <v>96555114</v>
      </c>
      <c r="C31">
        <v>96555111</v>
      </c>
      <c r="D31">
        <v>94550530</v>
      </c>
      <c r="E31">
        <v>1</v>
      </c>
      <c r="F31">
        <v>1</v>
      </c>
      <c r="G31">
        <v>1</v>
      </c>
      <c r="H31">
        <v>2</v>
      </c>
      <c r="I31" t="s">
        <v>298</v>
      </c>
      <c r="J31" t="s">
        <v>299</v>
      </c>
      <c r="K31" t="s">
        <v>300</v>
      </c>
      <c r="L31">
        <v>1368</v>
      </c>
      <c r="N31">
        <v>1011</v>
      </c>
      <c r="O31" t="s">
        <v>301</v>
      </c>
      <c r="P31" t="s">
        <v>301</v>
      </c>
      <c r="Q31">
        <v>1</v>
      </c>
      <c r="X31">
        <v>0.66</v>
      </c>
      <c r="Y31">
        <v>0</v>
      </c>
      <c r="Z31">
        <v>31.26</v>
      </c>
      <c r="AA31">
        <v>13.5</v>
      </c>
      <c r="AB31">
        <v>0</v>
      </c>
      <c r="AC31">
        <v>0</v>
      </c>
      <c r="AD31">
        <v>1</v>
      </c>
      <c r="AE31">
        <v>0</v>
      </c>
      <c r="AF31" t="s">
        <v>124</v>
      </c>
      <c r="AG31">
        <v>0.82500000000000007</v>
      </c>
      <c r="AH31">
        <v>2</v>
      </c>
      <c r="AI31">
        <v>96555114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ROW(Source!A78)</f>
        <v>78</v>
      </c>
      <c r="B32">
        <v>96555115</v>
      </c>
      <c r="C32">
        <v>96555111</v>
      </c>
      <c r="D32">
        <v>94551263</v>
      </c>
      <c r="E32">
        <v>1</v>
      </c>
      <c r="F32">
        <v>1</v>
      </c>
      <c r="G32">
        <v>1</v>
      </c>
      <c r="H32">
        <v>2</v>
      </c>
      <c r="I32" t="s">
        <v>314</v>
      </c>
      <c r="J32" t="s">
        <v>315</v>
      </c>
      <c r="K32" t="s">
        <v>316</v>
      </c>
      <c r="L32">
        <v>1368</v>
      </c>
      <c r="N32">
        <v>1011</v>
      </c>
      <c r="O32" t="s">
        <v>301</v>
      </c>
      <c r="P32" t="s">
        <v>301</v>
      </c>
      <c r="Q32">
        <v>1</v>
      </c>
      <c r="X32">
        <v>3.28</v>
      </c>
      <c r="Y32">
        <v>0</v>
      </c>
      <c r="Z32">
        <v>65.709999999999994</v>
      </c>
      <c r="AA32">
        <v>11.6</v>
      </c>
      <c r="AB32">
        <v>0</v>
      </c>
      <c r="AC32">
        <v>0</v>
      </c>
      <c r="AD32">
        <v>1</v>
      </c>
      <c r="AE32">
        <v>0</v>
      </c>
      <c r="AF32" t="s">
        <v>124</v>
      </c>
      <c r="AG32">
        <v>4.0999999999999996</v>
      </c>
      <c r="AH32">
        <v>2</v>
      </c>
      <c r="AI32">
        <v>96555115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ROW(Source!A78)</f>
        <v>78</v>
      </c>
      <c r="B33">
        <v>96555116</v>
      </c>
      <c r="C33">
        <v>96555111</v>
      </c>
      <c r="D33">
        <v>94401527</v>
      </c>
      <c r="E33">
        <v>1</v>
      </c>
      <c r="F33">
        <v>1</v>
      </c>
      <c r="G33">
        <v>1</v>
      </c>
      <c r="H33">
        <v>3</v>
      </c>
      <c r="I33" t="s">
        <v>325</v>
      </c>
      <c r="J33" t="s">
        <v>326</v>
      </c>
      <c r="K33" t="s">
        <v>327</v>
      </c>
      <c r="L33">
        <v>1301</v>
      </c>
      <c r="N33">
        <v>1003</v>
      </c>
      <c r="O33" t="s">
        <v>152</v>
      </c>
      <c r="P33" t="s">
        <v>152</v>
      </c>
      <c r="Q33">
        <v>1</v>
      </c>
      <c r="X33">
        <v>248.5</v>
      </c>
      <c r="Y33">
        <v>6.38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248.5</v>
      </c>
      <c r="AH33">
        <v>2</v>
      </c>
      <c r="AI33">
        <v>96555116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ROW(Source!A78)</f>
        <v>78</v>
      </c>
      <c r="B34">
        <v>96555117</v>
      </c>
      <c r="C34">
        <v>96555111</v>
      </c>
      <c r="D34">
        <v>94401528</v>
      </c>
      <c r="E34">
        <v>1</v>
      </c>
      <c r="F34">
        <v>1</v>
      </c>
      <c r="G34">
        <v>1</v>
      </c>
      <c r="H34">
        <v>3</v>
      </c>
      <c r="I34" t="s">
        <v>328</v>
      </c>
      <c r="J34" t="s">
        <v>329</v>
      </c>
      <c r="K34" t="s">
        <v>330</v>
      </c>
      <c r="L34">
        <v>1301</v>
      </c>
      <c r="N34">
        <v>1003</v>
      </c>
      <c r="O34" t="s">
        <v>152</v>
      </c>
      <c r="P34" t="s">
        <v>152</v>
      </c>
      <c r="Q34">
        <v>1</v>
      </c>
      <c r="X34">
        <v>57.5</v>
      </c>
      <c r="Y34">
        <v>7.95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57.5</v>
      </c>
      <c r="AH34">
        <v>2</v>
      </c>
      <c r="AI34">
        <v>96555117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ROW(Source!A78)</f>
        <v>78</v>
      </c>
      <c r="B35">
        <v>96555118</v>
      </c>
      <c r="C35">
        <v>96555111</v>
      </c>
      <c r="D35">
        <v>94401614</v>
      </c>
      <c r="E35">
        <v>1</v>
      </c>
      <c r="F35">
        <v>1</v>
      </c>
      <c r="G35">
        <v>1</v>
      </c>
      <c r="H35">
        <v>3</v>
      </c>
      <c r="I35" t="s">
        <v>331</v>
      </c>
      <c r="J35" t="s">
        <v>332</v>
      </c>
      <c r="K35" t="s">
        <v>333</v>
      </c>
      <c r="L35">
        <v>1302</v>
      </c>
      <c r="N35">
        <v>1003</v>
      </c>
      <c r="O35" t="s">
        <v>334</v>
      </c>
      <c r="P35" t="s">
        <v>334</v>
      </c>
      <c r="Q35">
        <v>10</v>
      </c>
      <c r="X35">
        <v>15.75</v>
      </c>
      <c r="Y35">
        <v>64.099999999999994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15.75</v>
      </c>
      <c r="AH35">
        <v>2</v>
      </c>
      <c r="AI35">
        <v>96555118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ROW(Source!A78)</f>
        <v>78</v>
      </c>
      <c r="B36">
        <v>96555119</v>
      </c>
      <c r="C36">
        <v>96555111</v>
      </c>
      <c r="D36">
        <v>94403659</v>
      </c>
      <c r="E36">
        <v>1</v>
      </c>
      <c r="F36">
        <v>1</v>
      </c>
      <c r="G36">
        <v>1</v>
      </c>
      <c r="H36">
        <v>3</v>
      </c>
      <c r="I36" t="s">
        <v>335</v>
      </c>
      <c r="J36" t="s">
        <v>336</v>
      </c>
      <c r="K36" t="s">
        <v>337</v>
      </c>
      <c r="L36">
        <v>1455</v>
      </c>
      <c r="N36">
        <v>1013</v>
      </c>
      <c r="O36" t="s">
        <v>157</v>
      </c>
      <c r="P36" t="s">
        <v>157</v>
      </c>
      <c r="Q36">
        <v>1</v>
      </c>
      <c r="X36">
        <v>40.1</v>
      </c>
      <c r="Y36">
        <v>7.03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40.1</v>
      </c>
      <c r="AH36">
        <v>2</v>
      </c>
      <c r="AI36">
        <v>96555119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ROW(Source!A78)</f>
        <v>78</v>
      </c>
      <c r="B37">
        <v>96555120</v>
      </c>
      <c r="C37">
        <v>96555111</v>
      </c>
      <c r="D37">
        <v>94392009</v>
      </c>
      <c r="E37">
        <v>56</v>
      </c>
      <c r="F37">
        <v>1</v>
      </c>
      <c r="G37">
        <v>1</v>
      </c>
      <c r="H37">
        <v>3</v>
      </c>
      <c r="I37" t="s">
        <v>369</v>
      </c>
      <c r="J37" t="s">
        <v>3</v>
      </c>
      <c r="K37" t="s">
        <v>370</v>
      </c>
      <c r="L37">
        <v>1327</v>
      </c>
      <c r="N37">
        <v>1005</v>
      </c>
      <c r="O37" t="s">
        <v>134</v>
      </c>
      <c r="P37" t="s">
        <v>134</v>
      </c>
      <c r="Q37">
        <v>1</v>
      </c>
      <c r="X37">
        <v>100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 t="s">
        <v>3</v>
      </c>
      <c r="AG37">
        <v>100</v>
      </c>
      <c r="AH37">
        <v>3</v>
      </c>
      <c r="AI37">
        <v>-1</v>
      </c>
      <c r="AJ37" t="s">
        <v>3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ROW(Source!A78)</f>
        <v>78</v>
      </c>
      <c r="B38">
        <v>96555121</v>
      </c>
      <c r="C38">
        <v>96555111</v>
      </c>
      <c r="D38">
        <v>94426760</v>
      </c>
      <c r="E38">
        <v>1</v>
      </c>
      <c r="F38">
        <v>1</v>
      </c>
      <c r="G38">
        <v>1</v>
      </c>
      <c r="H38">
        <v>3</v>
      </c>
      <c r="I38" t="s">
        <v>338</v>
      </c>
      <c r="J38" t="s">
        <v>339</v>
      </c>
      <c r="K38" t="s">
        <v>340</v>
      </c>
      <c r="L38">
        <v>1425</v>
      </c>
      <c r="N38">
        <v>1013</v>
      </c>
      <c r="O38" t="s">
        <v>36</v>
      </c>
      <c r="P38" t="s">
        <v>36</v>
      </c>
      <c r="Q38">
        <v>1</v>
      </c>
      <c r="X38">
        <v>8</v>
      </c>
      <c r="Y38">
        <v>50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8</v>
      </c>
      <c r="AH38">
        <v>2</v>
      </c>
      <c r="AI38">
        <v>96555121</v>
      </c>
      <c r="AJ38">
        <v>37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ROW(Source!A78)</f>
        <v>78</v>
      </c>
      <c r="B39">
        <v>96555122</v>
      </c>
      <c r="C39">
        <v>96555111</v>
      </c>
      <c r="D39">
        <v>94433277</v>
      </c>
      <c r="E39">
        <v>1</v>
      </c>
      <c r="F39">
        <v>1</v>
      </c>
      <c r="G39">
        <v>1</v>
      </c>
      <c r="H39">
        <v>3</v>
      </c>
      <c r="I39" t="s">
        <v>341</v>
      </c>
      <c r="J39" t="s">
        <v>342</v>
      </c>
      <c r="K39" t="s">
        <v>343</v>
      </c>
      <c r="L39">
        <v>1296</v>
      </c>
      <c r="N39">
        <v>1002</v>
      </c>
      <c r="O39" t="s">
        <v>344</v>
      </c>
      <c r="P39" t="s">
        <v>344</v>
      </c>
      <c r="Q39">
        <v>1</v>
      </c>
      <c r="X39">
        <v>53.25</v>
      </c>
      <c r="Y39">
        <v>46.86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53.25</v>
      </c>
      <c r="AH39">
        <v>2</v>
      </c>
      <c r="AI39">
        <v>96555122</v>
      </c>
      <c r="AJ39">
        <v>38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ROW(Source!A81)</f>
        <v>81</v>
      </c>
      <c r="B40">
        <v>96555311</v>
      </c>
      <c r="C40">
        <v>96555300</v>
      </c>
      <c r="D40">
        <v>94389427</v>
      </c>
      <c r="E40">
        <v>56</v>
      </c>
      <c r="F40">
        <v>1</v>
      </c>
      <c r="G40">
        <v>1</v>
      </c>
      <c r="H40">
        <v>1</v>
      </c>
      <c r="I40" t="s">
        <v>312</v>
      </c>
      <c r="J40" t="s">
        <v>3</v>
      </c>
      <c r="K40" t="s">
        <v>313</v>
      </c>
      <c r="L40">
        <v>1191</v>
      </c>
      <c r="N40">
        <v>1013</v>
      </c>
      <c r="O40" t="s">
        <v>295</v>
      </c>
      <c r="P40" t="s">
        <v>295</v>
      </c>
      <c r="Q40">
        <v>1</v>
      </c>
      <c r="X40">
        <v>19.61</v>
      </c>
      <c r="Y40">
        <v>0</v>
      </c>
      <c r="Z40">
        <v>0</v>
      </c>
      <c r="AA40">
        <v>0</v>
      </c>
      <c r="AB40">
        <v>8.5299999999999994</v>
      </c>
      <c r="AC40">
        <v>0</v>
      </c>
      <c r="AD40">
        <v>1</v>
      </c>
      <c r="AE40">
        <v>1</v>
      </c>
      <c r="AF40" t="s">
        <v>125</v>
      </c>
      <c r="AG40">
        <v>22.551499999999997</v>
      </c>
      <c r="AH40">
        <v>2</v>
      </c>
      <c r="AI40">
        <v>96555311</v>
      </c>
      <c r="AJ40">
        <v>39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ROW(Source!A81)</f>
        <v>81</v>
      </c>
      <c r="B41">
        <v>96555312</v>
      </c>
      <c r="C41">
        <v>96555300</v>
      </c>
      <c r="D41">
        <v>94389608</v>
      </c>
      <c r="E41">
        <v>56</v>
      </c>
      <c r="F41">
        <v>1</v>
      </c>
      <c r="G41">
        <v>1</v>
      </c>
      <c r="H41">
        <v>1</v>
      </c>
      <c r="I41" t="s">
        <v>296</v>
      </c>
      <c r="J41" t="s">
        <v>3</v>
      </c>
      <c r="K41" t="s">
        <v>297</v>
      </c>
      <c r="L41">
        <v>1191</v>
      </c>
      <c r="N41">
        <v>1013</v>
      </c>
      <c r="O41" t="s">
        <v>295</v>
      </c>
      <c r="P41" t="s">
        <v>295</v>
      </c>
      <c r="Q41">
        <v>1</v>
      </c>
      <c r="X41">
        <v>0.35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2</v>
      </c>
      <c r="AF41" t="s">
        <v>124</v>
      </c>
      <c r="AG41">
        <v>0.4375</v>
      </c>
      <c r="AH41">
        <v>2</v>
      </c>
      <c r="AI41">
        <v>96555312</v>
      </c>
      <c r="AJ41">
        <v>40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ROW(Source!A81)</f>
        <v>81</v>
      </c>
      <c r="B42">
        <v>96555313</v>
      </c>
      <c r="C42">
        <v>96555300</v>
      </c>
      <c r="D42">
        <v>94550530</v>
      </c>
      <c r="E42">
        <v>1</v>
      </c>
      <c r="F42">
        <v>1</v>
      </c>
      <c r="G42">
        <v>1</v>
      </c>
      <c r="H42">
        <v>2</v>
      </c>
      <c r="I42" t="s">
        <v>298</v>
      </c>
      <c r="J42" t="s">
        <v>299</v>
      </c>
      <c r="K42" t="s">
        <v>300</v>
      </c>
      <c r="L42">
        <v>1368</v>
      </c>
      <c r="N42">
        <v>1011</v>
      </c>
      <c r="O42" t="s">
        <v>301</v>
      </c>
      <c r="P42" t="s">
        <v>301</v>
      </c>
      <c r="Q42">
        <v>1</v>
      </c>
      <c r="X42">
        <v>7.0000000000000007E-2</v>
      </c>
      <c r="Y42">
        <v>0</v>
      </c>
      <c r="Z42">
        <v>31.26</v>
      </c>
      <c r="AA42">
        <v>13.5</v>
      </c>
      <c r="AB42">
        <v>0</v>
      </c>
      <c r="AC42">
        <v>0</v>
      </c>
      <c r="AD42">
        <v>1</v>
      </c>
      <c r="AE42">
        <v>0</v>
      </c>
      <c r="AF42" t="s">
        <v>124</v>
      </c>
      <c r="AG42">
        <v>8.7500000000000008E-2</v>
      </c>
      <c r="AH42">
        <v>2</v>
      </c>
      <c r="AI42">
        <v>96555313</v>
      </c>
      <c r="AJ42">
        <v>41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ROW(Source!A81)</f>
        <v>81</v>
      </c>
      <c r="B43">
        <v>96555314</v>
      </c>
      <c r="C43">
        <v>96555300</v>
      </c>
      <c r="D43">
        <v>94551263</v>
      </c>
      <c r="E43">
        <v>1</v>
      </c>
      <c r="F43">
        <v>1</v>
      </c>
      <c r="G43">
        <v>1</v>
      </c>
      <c r="H43">
        <v>2</v>
      </c>
      <c r="I43" t="s">
        <v>314</v>
      </c>
      <c r="J43" t="s">
        <v>315</v>
      </c>
      <c r="K43" t="s">
        <v>316</v>
      </c>
      <c r="L43">
        <v>1368</v>
      </c>
      <c r="N43">
        <v>1011</v>
      </c>
      <c r="O43" t="s">
        <v>301</v>
      </c>
      <c r="P43" t="s">
        <v>301</v>
      </c>
      <c r="Q43">
        <v>1</v>
      </c>
      <c r="X43">
        <v>0.28000000000000003</v>
      </c>
      <c r="Y43">
        <v>0</v>
      </c>
      <c r="Z43">
        <v>65.709999999999994</v>
      </c>
      <c r="AA43">
        <v>11.6</v>
      </c>
      <c r="AB43">
        <v>0</v>
      </c>
      <c r="AC43">
        <v>0</v>
      </c>
      <c r="AD43">
        <v>1</v>
      </c>
      <c r="AE43">
        <v>0</v>
      </c>
      <c r="AF43" t="s">
        <v>124</v>
      </c>
      <c r="AG43">
        <v>0.35000000000000003</v>
      </c>
      <c r="AH43">
        <v>2</v>
      </c>
      <c r="AI43">
        <v>96555314</v>
      </c>
      <c r="AJ43">
        <v>42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ROW(Source!A81)</f>
        <v>81</v>
      </c>
      <c r="B44">
        <v>96555315</v>
      </c>
      <c r="C44">
        <v>96555300</v>
      </c>
      <c r="D44">
        <v>94392014</v>
      </c>
      <c r="E44">
        <v>56</v>
      </c>
      <c r="F44">
        <v>1</v>
      </c>
      <c r="G44">
        <v>1</v>
      </c>
      <c r="H44">
        <v>3</v>
      </c>
      <c r="I44" t="s">
        <v>371</v>
      </c>
      <c r="J44" t="s">
        <v>3</v>
      </c>
      <c r="K44" t="s">
        <v>372</v>
      </c>
      <c r="L44">
        <v>1301</v>
      </c>
      <c r="N44">
        <v>1003</v>
      </c>
      <c r="O44" t="s">
        <v>152</v>
      </c>
      <c r="P44" t="s">
        <v>152</v>
      </c>
      <c r="Q44">
        <v>1</v>
      </c>
      <c r="X44">
        <v>0</v>
      </c>
      <c r="Y44">
        <v>0</v>
      </c>
      <c r="Z44">
        <v>0</v>
      </c>
      <c r="AA44">
        <v>0</v>
      </c>
      <c r="AB44">
        <v>0</v>
      </c>
      <c r="AC44">
        <v>1</v>
      </c>
      <c r="AD44">
        <v>0</v>
      </c>
      <c r="AE44">
        <v>0</v>
      </c>
      <c r="AF44" t="s">
        <v>3</v>
      </c>
      <c r="AG44">
        <v>0</v>
      </c>
      <c r="AH44">
        <v>3</v>
      </c>
      <c r="AI44">
        <v>-1</v>
      </c>
      <c r="AJ44" t="s">
        <v>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ROW(Source!A81)</f>
        <v>81</v>
      </c>
      <c r="B45">
        <v>96555316</v>
      </c>
      <c r="C45">
        <v>96555300</v>
      </c>
      <c r="D45">
        <v>94426757</v>
      </c>
      <c r="E45">
        <v>1</v>
      </c>
      <c r="F45">
        <v>1</v>
      </c>
      <c r="G45">
        <v>1</v>
      </c>
      <c r="H45">
        <v>3</v>
      </c>
      <c r="I45" t="s">
        <v>155</v>
      </c>
      <c r="J45" t="s">
        <v>158</v>
      </c>
      <c r="K45" t="s">
        <v>156</v>
      </c>
      <c r="L45">
        <v>1455</v>
      </c>
      <c r="N45">
        <v>1013</v>
      </c>
      <c r="O45" t="s">
        <v>157</v>
      </c>
      <c r="P45" t="s">
        <v>157</v>
      </c>
      <c r="Q45">
        <v>1</v>
      </c>
      <c r="X45">
        <v>0</v>
      </c>
      <c r="Y45">
        <v>3.15</v>
      </c>
      <c r="Z45">
        <v>0</v>
      </c>
      <c r="AA45">
        <v>0</v>
      </c>
      <c r="AB45">
        <v>0</v>
      </c>
      <c r="AC45">
        <v>1</v>
      </c>
      <c r="AD45">
        <v>0</v>
      </c>
      <c r="AE45">
        <v>0</v>
      </c>
      <c r="AF45" t="s">
        <v>3</v>
      </c>
      <c r="AG45">
        <v>0</v>
      </c>
      <c r="AH45">
        <v>2</v>
      </c>
      <c r="AI45">
        <v>96555316</v>
      </c>
      <c r="AJ45">
        <v>44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ROW(Source!A81)</f>
        <v>81</v>
      </c>
      <c r="B46">
        <v>96555317</v>
      </c>
      <c r="C46">
        <v>96555300</v>
      </c>
      <c r="D46">
        <v>94426760</v>
      </c>
      <c r="E46">
        <v>1</v>
      </c>
      <c r="F46">
        <v>1</v>
      </c>
      <c r="G46">
        <v>1</v>
      </c>
      <c r="H46">
        <v>3</v>
      </c>
      <c r="I46" t="s">
        <v>338</v>
      </c>
      <c r="J46" t="s">
        <v>339</v>
      </c>
      <c r="K46" t="s">
        <v>340</v>
      </c>
      <c r="L46">
        <v>1425</v>
      </c>
      <c r="N46">
        <v>1013</v>
      </c>
      <c r="O46" t="s">
        <v>36</v>
      </c>
      <c r="P46" t="s">
        <v>36</v>
      </c>
      <c r="Q46">
        <v>1</v>
      </c>
      <c r="X46">
        <v>4</v>
      </c>
      <c r="Y46">
        <v>50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4</v>
      </c>
      <c r="AH46">
        <v>2</v>
      </c>
      <c r="AI46">
        <v>96555317</v>
      </c>
      <c r="AJ46">
        <v>45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ROW(Source!A81)</f>
        <v>81</v>
      </c>
      <c r="B47">
        <v>96555318</v>
      </c>
      <c r="C47">
        <v>96555300</v>
      </c>
      <c r="D47">
        <v>94433277</v>
      </c>
      <c r="E47">
        <v>1</v>
      </c>
      <c r="F47">
        <v>1</v>
      </c>
      <c r="G47">
        <v>1</v>
      </c>
      <c r="H47">
        <v>3</v>
      </c>
      <c r="I47" t="s">
        <v>341</v>
      </c>
      <c r="J47" t="s">
        <v>342</v>
      </c>
      <c r="K47" t="s">
        <v>343</v>
      </c>
      <c r="L47">
        <v>1296</v>
      </c>
      <c r="N47">
        <v>1002</v>
      </c>
      <c r="O47" t="s">
        <v>344</v>
      </c>
      <c r="P47" t="s">
        <v>344</v>
      </c>
      <c r="Q47">
        <v>1</v>
      </c>
      <c r="X47">
        <v>68.03</v>
      </c>
      <c r="Y47">
        <v>46.86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68.03</v>
      </c>
      <c r="AH47">
        <v>2</v>
      </c>
      <c r="AI47">
        <v>96555318</v>
      </c>
      <c r="AJ47">
        <v>46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ROW(Source!A84)</f>
        <v>84</v>
      </c>
      <c r="B48">
        <v>96555324</v>
      </c>
      <c r="C48">
        <v>96555323</v>
      </c>
      <c r="D48">
        <v>94389449</v>
      </c>
      <c r="E48">
        <v>56</v>
      </c>
      <c r="F48">
        <v>1</v>
      </c>
      <c r="G48">
        <v>1</v>
      </c>
      <c r="H48">
        <v>1</v>
      </c>
      <c r="I48" t="s">
        <v>345</v>
      </c>
      <c r="J48" t="s">
        <v>3</v>
      </c>
      <c r="K48" t="s">
        <v>346</v>
      </c>
      <c r="L48">
        <v>1191</v>
      </c>
      <c r="N48">
        <v>1013</v>
      </c>
      <c r="O48" t="s">
        <v>295</v>
      </c>
      <c r="P48" t="s">
        <v>295</v>
      </c>
      <c r="Q48">
        <v>1</v>
      </c>
      <c r="X48">
        <v>166.47</v>
      </c>
      <c r="Y48">
        <v>0</v>
      </c>
      <c r="Z48">
        <v>0</v>
      </c>
      <c r="AA48">
        <v>0</v>
      </c>
      <c r="AB48">
        <v>9.18</v>
      </c>
      <c r="AC48">
        <v>0</v>
      </c>
      <c r="AD48">
        <v>1</v>
      </c>
      <c r="AE48">
        <v>1</v>
      </c>
      <c r="AF48" t="s">
        <v>125</v>
      </c>
      <c r="AG48">
        <v>191.44049999999999</v>
      </c>
      <c r="AH48">
        <v>2</v>
      </c>
      <c r="AI48">
        <v>96555324</v>
      </c>
      <c r="AJ48">
        <v>47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ROW(Source!A84)</f>
        <v>84</v>
      </c>
      <c r="B49">
        <v>96555325</v>
      </c>
      <c r="C49">
        <v>96555323</v>
      </c>
      <c r="D49">
        <v>94389608</v>
      </c>
      <c r="E49">
        <v>56</v>
      </c>
      <c r="F49">
        <v>1</v>
      </c>
      <c r="G49">
        <v>1</v>
      </c>
      <c r="H49">
        <v>1</v>
      </c>
      <c r="I49" t="s">
        <v>296</v>
      </c>
      <c r="J49" t="s">
        <v>3</v>
      </c>
      <c r="K49" t="s">
        <v>297</v>
      </c>
      <c r="L49">
        <v>1191</v>
      </c>
      <c r="N49">
        <v>1013</v>
      </c>
      <c r="O49" t="s">
        <v>295</v>
      </c>
      <c r="P49" t="s">
        <v>295</v>
      </c>
      <c r="Q49">
        <v>1</v>
      </c>
      <c r="X49">
        <v>0.57999999999999996</v>
      </c>
      <c r="Y49">
        <v>0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2</v>
      </c>
      <c r="AF49" t="s">
        <v>124</v>
      </c>
      <c r="AG49">
        <v>0.72499999999999998</v>
      </c>
      <c r="AH49">
        <v>2</v>
      </c>
      <c r="AI49">
        <v>96555325</v>
      </c>
      <c r="AJ49">
        <v>48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ROW(Source!A84)</f>
        <v>84</v>
      </c>
      <c r="B50">
        <v>96555326</v>
      </c>
      <c r="C50">
        <v>96555323</v>
      </c>
      <c r="D50">
        <v>94550530</v>
      </c>
      <c r="E50">
        <v>1</v>
      </c>
      <c r="F50">
        <v>1</v>
      </c>
      <c r="G50">
        <v>1</v>
      </c>
      <c r="H50">
        <v>2</v>
      </c>
      <c r="I50" t="s">
        <v>298</v>
      </c>
      <c r="J50" t="s">
        <v>299</v>
      </c>
      <c r="K50" t="s">
        <v>300</v>
      </c>
      <c r="L50">
        <v>1368</v>
      </c>
      <c r="N50">
        <v>1011</v>
      </c>
      <c r="O50" t="s">
        <v>301</v>
      </c>
      <c r="P50" t="s">
        <v>301</v>
      </c>
      <c r="Q50">
        <v>1</v>
      </c>
      <c r="X50">
        <v>0.08</v>
      </c>
      <c r="Y50">
        <v>0</v>
      </c>
      <c r="Z50">
        <v>31.26</v>
      </c>
      <c r="AA50">
        <v>13.5</v>
      </c>
      <c r="AB50">
        <v>0</v>
      </c>
      <c r="AC50">
        <v>0</v>
      </c>
      <c r="AD50">
        <v>1</v>
      </c>
      <c r="AE50">
        <v>0</v>
      </c>
      <c r="AF50" t="s">
        <v>124</v>
      </c>
      <c r="AG50">
        <v>0.1</v>
      </c>
      <c r="AH50">
        <v>2</v>
      </c>
      <c r="AI50">
        <v>96555326</v>
      </c>
      <c r="AJ50">
        <v>49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ROW(Source!A84)</f>
        <v>84</v>
      </c>
      <c r="B51">
        <v>96555327</v>
      </c>
      <c r="C51">
        <v>96555323</v>
      </c>
      <c r="D51">
        <v>94551263</v>
      </c>
      <c r="E51">
        <v>1</v>
      </c>
      <c r="F51">
        <v>1</v>
      </c>
      <c r="G51">
        <v>1</v>
      </c>
      <c r="H51">
        <v>2</v>
      </c>
      <c r="I51" t="s">
        <v>314</v>
      </c>
      <c r="J51" t="s">
        <v>315</v>
      </c>
      <c r="K51" t="s">
        <v>316</v>
      </c>
      <c r="L51">
        <v>1368</v>
      </c>
      <c r="N51">
        <v>1011</v>
      </c>
      <c r="O51" t="s">
        <v>301</v>
      </c>
      <c r="P51" t="s">
        <v>301</v>
      </c>
      <c r="Q51">
        <v>1</v>
      </c>
      <c r="X51">
        <v>0.5</v>
      </c>
      <c r="Y51">
        <v>0</v>
      </c>
      <c r="Z51">
        <v>65.709999999999994</v>
      </c>
      <c r="AA51">
        <v>11.6</v>
      </c>
      <c r="AB51">
        <v>0</v>
      </c>
      <c r="AC51">
        <v>0</v>
      </c>
      <c r="AD51">
        <v>1</v>
      </c>
      <c r="AE51">
        <v>0</v>
      </c>
      <c r="AF51" t="s">
        <v>124</v>
      </c>
      <c r="AG51">
        <v>0.625</v>
      </c>
      <c r="AH51">
        <v>2</v>
      </c>
      <c r="AI51">
        <v>96555327</v>
      </c>
      <c r="AJ51">
        <v>50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ROW(Source!A84)</f>
        <v>84</v>
      </c>
      <c r="B52">
        <v>96555328</v>
      </c>
      <c r="C52">
        <v>96555323</v>
      </c>
      <c r="D52">
        <v>94404723</v>
      </c>
      <c r="E52">
        <v>1</v>
      </c>
      <c r="F52">
        <v>1</v>
      </c>
      <c r="G52">
        <v>1</v>
      </c>
      <c r="H52">
        <v>3</v>
      </c>
      <c r="I52" t="s">
        <v>347</v>
      </c>
      <c r="J52" t="s">
        <v>348</v>
      </c>
      <c r="K52" t="s">
        <v>349</v>
      </c>
      <c r="L52">
        <v>1346</v>
      </c>
      <c r="N52">
        <v>1009</v>
      </c>
      <c r="O52" t="s">
        <v>173</v>
      </c>
      <c r="P52" t="s">
        <v>173</v>
      </c>
      <c r="Q52">
        <v>1</v>
      </c>
      <c r="X52">
        <v>0.2</v>
      </c>
      <c r="Y52">
        <v>1.82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0.2</v>
      </c>
      <c r="AH52">
        <v>2</v>
      </c>
      <c r="AI52">
        <v>96555328</v>
      </c>
      <c r="AJ52">
        <v>51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ROW(Source!A84)</f>
        <v>84</v>
      </c>
      <c r="B53">
        <v>96555329</v>
      </c>
      <c r="C53">
        <v>96555323</v>
      </c>
      <c r="D53">
        <v>94391949</v>
      </c>
      <c r="E53">
        <v>56</v>
      </c>
      <c r="F53">
        <v>1</v>
      </c>
      <c r="G53">
        <v>1</v>
      </c>
      <c r="H53">
        <v>3</v>
      </c>
      <c r="I53" t="s">
        <v>373</v>
      </c>
      <c r="J53" t="s">
        <v>3</v>
      </c>
      <c r="K53" t="s">
        <v>374</v>
      </c>
      <c r="L53">
        <v>1327</v>
      </c>
      <c r="N53">
        <v>1005</v>
      </c>
      <c r="O53" t="s">
        <v>134</v>
      </c>
      <c r="P53" t="s">
        <v>134</v>
      </c>
      <c r="Q53">
        <v>1</v>
      </c>
      <c r="X53">
        <v>105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 t="s">
        <v>3</v>
      </c>
      <c r="AG53">
        <v>105</v>
      </c>
      <c r="AH53">
        <v>3</v>
      </c>
      <c r="AI53">
        <v>-1</v>
      </c>
      <c r="AJ53" t="s">
        <v>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ROW(Source!A84)</f>
        <v>84</v>
      </c>
      <c r="B54">
        <v>96555330</v>
      </c>
      <c r="C54">
        <v>96555323</v>
      </c>
      <c r="D54">
        <v>94392375</v>
      </c>
      <c r="E54">
        <v>56</v>
      </c>
      <c r="F54">
        <v>1</v>
      </c>
      <c r="G54">
        <v>1</v>
      </c>
      <c r="H54">
        <v>3</v>
      </c>
      <c r="I54" t="s">
        <v>375</v>
      </c>
      <c r="J54" t="s">
        <v>3</v>
      </c>
      <c r="K54" t="s">
        <v>376</v>
      </c>
      <c r="L54">
        <v>1346</v>
      </c>
      <c r="N54">
        <v>1009</v>
      </c>
      <c r="O54" t="s">
        <v>173</v>
      </c>
      <c r="P54" t="s">
        <v>173</v>
      </c>
      <c r="Q54">
        <v>1</v>
      </c>
      <c r="X54">
        <v>30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 t="s">
        <v>3</v>
      </c>
      <c r="AG54">
        <v>30</v>
      </c>
      <c r="AH54">
        <v>3</v>
      </c>
      <c r="AI54">
        <v>-1</v>
      </c>
      <c r="AJ54" t="s">
        <v>3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ROW(Source!A84)</f>
        <v>84</v>
      </c>
      <c r="B55">
        <v>96555331</v>
      </c>
      <c r="C55">
        <v>96555323</v>
      </c>
      <c r="D55">
        <v>94392495</v>
      </c>
      <c r="E55">
        <v>56</v>
      </c>
      <c r="F55">
        <v>1</v>
      </c>
      <c r="G55">
        <v>1</v>
      </c>
      <c r="H55">
        <v>3</v>
      </c>
      <c r="I55" t="s">
        <v>377</v>
      </c>
      <c r="J55" t="s">
        <v>3</v>
      </c>
      <c r="K55" t="s">
        <v>378</v>
      </c>
      <c r="L55">
        <v>1348</v>
      </c>
      <c r="N55">
        <v>1009</v>
      </c>
      <c r="O55" t="s">
        <v>27</v>
      </c>
      <c r="P55" t="s">
        <v>27</v>
      </c>
      <c r="Q55">
        <v>1000</v>
      </c>
      <c r="X55">
        <v>8.8999999999999999E-3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 t="s">
        <v>3</v>
      </c>
      <c r="AG55">
        <v>8.8999999999999999E-3</v>
      </c>
      <c r="AH55">
        <v>3</v>
      </c>
      <c r="AI55">
        <v>-1</v>
      </c>
      <c r="AJ55" t="s">
        <v>3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ROW(Source!A88)</f>
        <v>88</v>
      </c>
      <c r="B56">
        <v>96555345</v>
      </c>
      <c r="C56">
        <v>96555344</v>
      </c>
      <c r="D56">
        <v>94389431</v>
      </c>
      <c r="E56">
        <v>56</v>
      </c>
      <c r="F56">
        <v>1</v>
      </c>
      <c r="G56">
        <v>1</v>
      </c>
      <c r="H56">
        <v>1</v>
      </c>
      <c r="I56" t="s">
        <v>323</v>
      </c>
      <c r="J56" t="s">
        <v>3</v>
      </c>
      <c r="K56" t="s">
        <v>324</v>
      </c>
      <c r="L56">
        <v>1191</v>
      </c>
      <c r="N56">
        <v>1013</v>
      </c>
      <c r="O56" t="s">
        <v>295</v>
      </c>
      <c r="P56" t="s">
        <v>295</v>
      </c>
      <c r="Q56">
        <v>1</v>
      </c>
      <c r="X56">
        <v>122.57</v>
      </c>
      <c r="Y56">
        <v>0</v>
      </c>
      <c r="Z56">
        <v>0</v>
      </c>
      <c r="AA56">
        <v>0</v>
      </c>
      <c r="AB56">
        <v>8.74</v>
      </c>
      <c r="AC56">
        <v>0</v>
      </c>
      <c r="AD56">
        <v>1</v>
      </c>
      <c r="AE56">
        <v>1</v>
      </c>
      <c r="AF56" t="s">
        <v>125</v>
      </c>
      <c r="AG56">
        <v>140.95549999999997</v>
      </c>
      <c r="AH56">
        <v>2</v>
      </c>
      <c r="AI56">
        <v>96555345</v>
      </c>
      <c r="AJ56">
        <v>55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ROW(Source!A88)</f>
        <v>88</v>
      </c>
      <c r="B57">
        <v>96555346</v>
      </c>
      <c r="C57">
        <v>96555344</v>
      </c>
      <c r="D57">
        <v>94389608</v>
      </c>
      <c r="E57">
        <v>56</v>
      </c>
      <c r="F57">
        <v>1</v>
      </c>
      <c r="G57">
        <v>1</v>
      </c>
      <c r="H57">
        <v>1</v>
      </c>
      <c r="I57" t="s">
        <v>296</v>
      </c>
      <c r="J57" t="s">
        <v>3</v>
      </c>
      <c r="K57" t="s">
        <v>297</v>
      </c>
      <c r="L57">
        <v>1191</v>
      </c>
      <c r="N57">
        <v>1013</v>
      </c>
      <c r="O57" t="s">
        <v>295</v>
      </c>
      <c r="P57" t="s">
        <v>295</v>
      </c>
      <c r="Q57">
        <v>1</v>
      </c>
      <c r="X57">
        <v>3.8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2</v>
      </c>
      <c r="AF57" t="s">
        <v>124</v>
      </c>
      <c r="AG57">
        <v>4.75</v>
      </c>
      <c r="AH57">
        <v>2</v>
      </c>
      <c r="AI57">
        <v>96555346</v>
      </c>
      <c r="AJ57">
        <v>56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ROW(Source!A88)</f>
        <v>88</v>
      </c>
      <c r="B58">
        <v>96555347</v>
      </c>
      <c r="C58">
        <v>96555344</v>
      </c>
      <c r="D58">
        <v>94550530</v>
      </c>
      <c r="E58">
        <v>1</v>
      </c>
      <c r="F58">
        <v>1</v>
      </c>
      <c r="G58">
        <v>1</v>
      </c>
      <c r="H58">
        <v>2</v>
      </c>
      <c r="I58" t="s">
        <v>298</v>
      </c>
      <c r="J58" t="s">
        <v>299</v>
      </c>
      <c r="K58" t="s">
        <v>300</v>
      </c>
      <c r="L58">
        <v>1368</v>
      </c>
      <c r="N58">
        <v>1011</v>
      </c>
      <c r="O58" t="s">
        <v>301</v>
      </c>
      <c r="P58" t="s">
        <v>301</v>
      </c>
      <c r="Q58">
        <v>1</v>
      </c>
      <c r="X58">
        <v>0.52</v>
      </c>
      <c r="Y58">
        <v>0</v>
      </c>
      <c r="Z58">
        <v>31.26</v>
      </c>
      <c r="AA58">
        <v>13.5</v>
      </c>
      <c r="AB58">
        <v>0</v>
      </c>
      <c r="AC58">
        <v>0</v>
      </c>
      <c r="AD58">
        <v>1</v>
      </c>
      <c r="AE58">
        <v>0</v>
      </c>
      <c r="AF58" t="s">
        <v>124</v>
      </c>
      <c r="AG58">
        <v>0.65</v>
      </c>
      <c r="AH58">
        <v>2</v>
      </c>
      <c r="AI58">
        <v>96555347</v>
      </c>
      <c r="AJ58">
        <v>57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ROW(Source!A88)</f>
        <v>88</v>
      </c>
      <c r="B59">
        <v>96555348</v>
      </c>
      <c r="C59">
        <v>96555344</v>
      </c>
      <c r="D59">
        <v>94551263</v>
      </c>
      <c r="E59">
        <v>1</v>
      </c>
      <c r="F59">
        <v>1</v>
      </c>
      <c r="G59">
        <v>1</v>
      </c>
      <c r="H59">
        <v>2</v>
      </c>
      <c r="I59" t="s">
        <v>314</v>
      </c>
      <c r="J59" t="s">
        <v>315</v>
      </c>
      <c r="K59" t="s">
        <v>316</v>
      </c>
      <c r="L59">
        <v>1368</v>
      </c>
      <c r="N59">
        <v>1011</v>
      </c>
      <c r="O59" t="s">
        <v>301</v>
      </c>
      <c r="P59" t="s">
        <v>301</v>
      </c>
      <c r="Q59">
        <v>1</v>
      </c>
      <c r="X59">
        <v>3.28</v>
      </c>
      <c r="Y59">
        <v>0</v>
      </c>
      <c r="Z59">
        <v>65.709999999999994</v>
      </c>
      <c r="AA59">
        <v>11.6</v>
      </c>
      <c r="AB59">
        <v>0</v>
      </c>
      <c r="AC59">
        <v>0</v>
      </c>
      <c r="AD59">
        <v>1</v>
      </c>
      <c r="AE59">
        <v>0</v>
      </c>
      <c r="AF59" t="s">
        <v>124</v>
      </c>
      <c r="AG59">
        <v>4.0999999999999996</v>
      </c>
      <c r="AH59">
        <v>2</v>
      </c>
      <c r="AI59">
        <v>96555348</v>
      </c>
      <c r="AJ59">
        <v>58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ROW(Source!A88)</f>
        <v>88</v>
      </c>
      <c r="B60">
        <v>96555349</v>
      </c>
      <c r="C60">
        <v>96555344</v>
      </c>
      <c r="D60">
        <v>94401527</v>
      </c>
      <c r="E60">
        <v>1</v>
      </c>
      <c r="F60">
        <v>1</v>
      </c>
      <c r="G60">
        <v>1</v>
      </c>
      <c r="H60">
        <v>3</v>
      </c>
      <c r="I60" t="s">
        <v>325</v>
      </c>
      <c r="J60" t="s">
        <v>326</v>
      </c>
      <c r="K60" t="s">
        <v>327</v>
      </c>
      <c r="L60">
        <v>1301</v>
      </c>
      <c r="N60">
        <v>1003</v>
      </c>
      <c r="O60" t="s">
        <v>152</v>
      </c>
      <c r="P60" t="s">
        <v>152</v>
      </c>
      <c r="Q60">
        <v>1</v>
      </c>
      <c r="X60">
        <v>218</v>
      </c>
      <c r="Y60">
        <v>6.38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218</v>
      </c>
      <c r="AH60">
        <v>2</v>
      </c>
      <c r="AI60">
        <v>96555349</v>
      </c>
      <c r="AJ60">
        <v>59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ROW(Source!A88)</f>
        <v>88</v>
      </c>
      <c r="B61">
        <v>96555350</v>
      </c>
      <c r="C61">
        <v>96555344</v>
      </c>
      <c r="D61">
        <v>94401528</v>
      </c>
      <c r="E61">
        <v>1</v>
      </c>
      <c r="F61">
        <v>1</v>
      </c>
      <c r="G61">
        <v>1</v>
      </c>
      <c r="H61">
        <v>3</v>
      </c>
      <c r="I61" t="s">
        <v>328</v>
      </c>
      <c r="J61" t="s">
        <v>329</v>
      </c>
      <c r="K61" t="s">
        <v>330</v>
      </c>
      <c r="L61">
        <v>1301</v>
      </c>
      <c r="N61">
        <v>1003</v>
      </c>
      <c r="O61" t="s">
        <v>152</v>
      </c>
      <c r="P61" t="s">
        <v>152</v>
      </c>
      <c r="Q61">
        <v>1</v>
      </c>
      <c r="X61">
        <v>40</v>
      </c>
      <c r="Y61">
        <v>7.95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40</v>
      </c>
      <c r="AH61">
        <v>2</v>
      </c>
      <c r="AI61">
        <v>96555350</v>
      </c>
      <c r="AJ61">
        <v>60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ROW(Source!A88)</f>
        <v>88</v>
      </c>
      <c r="B62">
        <v>96555351</v>
      </c>
      <c r="C62">
        <v>96555344</v>
      </c>
      <c r="D62">
        <v>94401614</v>
      </c>
      <c r="E62">
        <v>1</v>
      </c>
      <c r="F62">
        <v>1</v>
      </c>
      <c r="G62">
        <v>1</v>
      </c>
      <c r="H62">
        <v>3</v>
      </c>
      <c r="I62" t="s">
        <v>331</v>
      </c>
      <c r="J62" t="s">
        <v>332</v>
      </c>
      <c r="K62" t="s">
        <v>333</v>
      </c>
      <c r="L62">
        <v>1302</v>
      </c>
      <c r="N62">
        <v>1003</v>
      </c>
      <c r="O62" t="s">
        <v>334</v>
      </c>
      <c r="P62" t="s">
        <v>334</v>
      </c>
      <c r="Q62">
        <v>10</v>
      </c>
      <c r="X62">
        <v>15.1</v>
      </c>
      <c r="Y62">
        <v>64.099999999999994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15.1</v>
      </c>
      <c r="AH62">
        <v>2</v>
      </c>
      <c r="AI62">
        <v>96555351</v>
      </c>
      <c r="AJ62">
        <v>61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ROW(Source!A88)</f>
        <v>88</v>
      </c>
      <c r="B63">
        <v>96555352</v>
      </c>
      <c r="C63">
        <v>96555344</v>
      </c>
      <c r="D63">
        <v>94403659</v>
      </c>
      <c r="E63">
        <v>1</v>
      </c>
      <c r="F63">
        <v>1</v>
      </c>
      <c r="G63">
        <v>1</v>
      </c>
      <c r="H63">
        <v>3</v>
      </c>
      <c r="I63" t="s">
        <v>335</v>
      </c>
      <c r="J63" t="s">
        <v>336</v>
      </c>
      <c r="K63" t="s">
        <v>337</v>
      </c>
      <c r="L63">
        <v>1455</v>
      </c>
      <c r="N63">
        <v>1013</v>
      </c>
      <c r="O63" t="s">
        <v>157</v>
      </c>
      <c r="P63" t="s">
        <v>157</v>
      </c>
      <c r="Q63">
        <v>1</v>
      </c>
      <c r="X63">
        <v>31.1</v>
      </c>
      <c r="Y63">
        <v>7.03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31.1</v>
      </c>
      <c r="AH63">
        <v>2</v>
      </c>
      <c r="AI63">
        <v>96555352</v>
      </c>
      <c r="AJ63">
        <v>62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ROW(Source!A88)</f>
        <v>88</v>
      </c>
      <c r="B64">
        <v>96555353</v>
      </c>
      <c r="C64">
        <v>96555344</v>
      </c>
      <c r="D64">
        <v>94392001</v>
      </c>
      <c r="E64">
        <v>56</v>
      </c>
      <c r="F64">
        <v>1</v>
      </c>
      <c r="G64">
        <v>1</v>
      </c>
      <c r="H64">
        <v>3</v>
      </c>
      <c r="I64" t="s">
        <v>379</v>
      </c>
      <c r="J64" t="s">
        <v>3</v>
      </c>
      <c r="K64" t="s">
        <v>380</v>
      </c>
      <c r="L64">
        <v>1327</v>
      </c>
      <c r="N64">
        <v>1005</v>
      </c>
      <c r="O64" t="s">
        <v>134</v>
      </c>
      <c r="P64" t="s">
        <v>134</v>
      </c>
      <c r="Q64">
        <v>1</v>
      </c>
      <c r="X64">
        <v>100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 t="s">
        <v>3</v>
      </c>
      <c r="AG64">
        <v>100</v>
      </c>
      <c r="AH64">
        <v>3</v>
      </c>
      <c r="AI64">
        <v>-1</v>
      </c>
      <c r="AJ64" t="s">
        <v>3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ROW(Source!A88)</f>
        <v>88</v>
      </c>
      <c r="B65">
        <v>96555354</v>
      </c>
      <c r="C65">
        <v>96555344</v>
      </c>
      <c r="D65">
        <v>94426760</v>
      </c>
      <c r="E65">
        <v>1</v>
      </c>
      <c r="F65">
        <v>1</v>
      </c>
      <c r="G65">
        <v>1</v>
      </c>
      <c r="H65">
        <v>3</v>
      </c>
      <c r="I65" t="s">
        <v>338</v>
      </c>
      <c r="J65" t="s">
        <v>339</v>
      </c>
      <c r="K65" t="s">
        <v>340</v>
      </c>
      <c r="L65">
        <v>1425</v>
      </c>
      <c r="N65">
        <v>1013</v>
      </c>
      <c r="O65" t="s">
        <v>36</v>
      </c>
      <c r="P65" t="s">
        <v>36</v>
      </c>
      <c r="Q65">
        <v>1</v>
      </c>
      <c r="X65">
        <v>8</v>
      </c>
      <c r="Y65">
        <v>50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8</v>
      </c>
      <c r="AH65">
        <v>2</v>
      </c>
      <c r="AI65">
        <v>96555354</v>
      </c>
      <c r="AJ65">
        <v>64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ROW(Source!A88)</f>
        <v>88</v>
      </c>
      <c r="B66">
        <v>96555355</v>
      </c>
      <c r="C66">
        <v>96555344</v>
      </c>
      <c r="D66">
        <v>94433277</v>
      </c>
      <c r="E66">
        <v>1</v>
      </c>
      <c r="F66">
        <v>1</v>
      </c>
      <c r="G66">
        <v>1</v>
      </c>
      <c r="H66">
        <v>3</v>
      </c>
      <c r="I66" t="s">
        <v>341</v>
      </c>
      <c r="J66" t="s">
        <v>342</v>
      </c>
      <c r="K66" t="s">
        <v>343</v>
      </c>
      <c r="L66">
        <v>1296</v>
      </c>
      <c r="N66">
        <v>1002</v>
      </c>
      <c r="O66" t="s">
        <v>344</v>
      </c>
      <c r="P66" t="s">
        <v>344</v>
      </c>
      <c r="Q66">
        <v>1</v>
      </c>
      <c r="X66">
        <v>52.73</v>
      </c>
      <c r="Y66">
        <v>46.86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52.73</v>
      </c>
      <c r="AH66">
        <v>2</v>
      </c>
      <c r="AI66">
        <v>96555355</v>
      </c>
      <c r="AJ66">
        <v>65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ROW(Source!A90)</f>
        <v>90</v>
      </c>
      <c r="B67">
        <v>96555424</v>
      </c>
      <c r="C67">
        <v>96555423</v>
      </c>
      <c r="D67">
        <v>94389477</v>
      </c>
      <c r="E67">
        <v>56</v>
      </c>
      <c r="F67">
        <v>1</v>
      </c>
      <c r="G67">
        <v>1</v>
      </c>
      <c r="H67">
        <v>1</v>
      </c>
      <c r="I67" t="s">
        <v>350</v>
      </c>
      <c r="J67" t="s">
        <v>3</v>
      </c>
      <c r="K67" t="s">
        <v>351</v>
      </c>
      <c r="L67">
        <v>1191</v>
      </c>
      <c r="N67">
        <v>1013</v>
      </c>
      <c r="O67" t="s">
        <v>295</v>
      </c>
      <c r="P67" t="s">
        <v>295</v>
      </c>
      <c r="Q67">
        <v>1</v>
      </c>
      <c r="X67">
        <v>2.4</v>
      </c>
      <c r="Y67">
        <v>0</v>
      </c>
      <c r="Z67">
        <v>0</v>
      </c>
      <c r="AA67">
        <v>0</v>
      </c>
      <c r="AB67">
        <v>9.92</v>
      </c>
      <c r="AC67">
        <v>0</v>
      </c>
      <c r="AD67">
        <v>1</v>
      </c>
      <c r="AE67">
        <v>1</v>
      </c>
      <c r="AF67" t="s">
        <v>125</v>
      </c>
      <c r="AG67">
        <v>2.76</v>
      </c>
      <c r="AH67">
        <v>2</v>
      </c>
      <c r="AI67">
        <v>96555424</v>
      </c>
      <c r="AJ67">
        <v>66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ROW(Source!A90)</f>
        <v>90</v>
      </c>
      <c r="B68">
        <v>96555425</v>
      </c>
      <c r="C68">
        <v>96555423</v>
      </c>
      <c r="D68">
        <v>94389608</v>
      </c>
      <c r="E68">
        <v>56</v>
      </c>
      <c r="F68">
        <v>1</v>
      </c>
      <c r="G68">
        <v>1</v>
      </c>
      <c r="H68">
        <v>1</v>
      </c>
      <c r="I68" t="s">
        <v>296</v>
      </c>
      <c r="J68" t="s">
        <v>3</v>
      </c>
      <c r="K68" t="s">
        <v>297</v>
      </c>
      <c r="L68">
        <v>1191</v>
      </c>
      <c r="N68">
        <v>1013</v>
      </c>
      <c r="O68" t="s">
        <v>295</v>
      </c>
      <c r="P68" t="s">
        <v>295</v>
      </c>
      <c r="Q68">
        <v>1</v>
      </c>
      <c r="X68">
        <v>0.17</v>
      </c>
      <c r="Y68">
        <v>0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2</v>
      </c>
      <c r="AF68" t="s">
        <v>124</v>
      </c>
      <c r="AG68">
        <v>0.21250000000000002</v>
      </c>
      <c r="AH68">
        <v>2</v>
      </c>
      <c r="AI68">
        <v>96555425</v>
      </c>
      <c r="AJ68">
        <v>67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ROW(Source!A90)</f>
        <v>90</v>
      </c>
      <c r="B69">
        <v>96555426</v>
      </c>
      <c r="C69">
        <v>96555423</v>
      </c>
      <c r="D69">
        <v>94551263</v>
      </c>
      <c r="E69">
        <v>1</v>
      </c>
      <c r="F69">
        <v>1</v>
      </c>
      <c r="G69">
        <v>1</v>
      </c>
      <c r="H69">
        <v>2</v>
      </c>
      <c r="I69" t="s">
        <v>314</v>
      </c>
      <c r="J69" t="s">
        <v>315</v>
      </c>
      <c r="K69" t="s">
        <v>316</v>
      </c>
      <c r="L69">
        <v>1368</v>
      </c>
      <c r="N69">
        <v>1011</v>
      </c>
      <c r="O69" t="s">
        <v>301</v>
      </c>
      <c r="P69" t="s">
        <v>301</v>
      </c>
      <c r="Q69">
        <v>1</v>
      </c>
      <c r="X69">
        <v>0.17</v>
      </c>
      <c r="Y69">
        <v>0</v>
      </c>
      <c r="Z69">
        <v>65.709999999999994</v>
      </c>
      <c r="AA69">
        <v>11.6</v>
      </c>
      <c r="AB69">
        <v>0</v>
      </c>
      <c r="AC69">
        <v>0</v>
      </c>
      <c r="AD69">
        <v>1</v>
      </c>
      <c r="AE69">
        <v>0</v>
      </c>
      <c r="AF69" t="s">
        <v>124</v>
      </c>
      <c r="AG69">
        <v>0.21250000000000002</v>
      </c>
      <c r="AH69">
        <v>2</v>
      </c>
      <c r="AI69">
        <v>96555426</v>
      </c>
      <c r="AJ69">
        <v>68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ROW(Source!A90)</f>
        <v>90</v>
      </c>
      <c r="B70">
        <v>96555427</v>
      </c>
      <c r="C70">
        <v>96555423</v>
      </c>
      <c r="D70">
        <v>94551473</v>
      </c>
      <c r="E70">
        <v>1</v>
      </c>
      <c r="F70">
        <v>1</v>
      </c>
      <c r="G70">
        <v>1</v>
      </c>
      <c r="H70">
        <v>2</v>
      </c>
      <c r="I70" t="s">
        <v>352</v>
      </c>
      <c r="J70" t="s">
        <v>353</v>
      </c>
      <c r="K70" t="s">
        <v>354</v>
      </c>
      <c r="L70">
        <v>1368</v>
      </c>
      <c r="N70">
        <v>1011</v>
      </c>
      <c r="O70" t="s">
        <v>301</v>
      </c>
      <c r="P70" t="s">
        <v>301</v>
      </c>
      <c r="Q70">
        <v>1</v>
      </c>
      <c r="X70">
        <v>0.4</v>
      </c>
      <c r="Y70">
        <v>0</v>
      </c>
      <c r="Z70">
        <v>8.1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124</v>
      </c>
      <c r="AG70">
        <v>0.5</v>
      </c>
      <c r="AH70">
        <v>2</v>
      </c>
      <c r="AI70">
        <v>96555427</v>
      </c>
      <c r="AJ70">
        <v>69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ROW(Source!A90)</f>
        <v>90</v>
      </c>
      <c r="B71">
        <v>96555428</v>
      </c>
      <c r="C71">
        <v>96555423</v>
      </c>
      <c r="D71">
        <v>94389756</v>
      </c>
      <c r="E71">
        <v>56</v>
      </c>
      <c r="F71">
        <v>1</v>
      </c>
      <c r="G71">
        <v>1</v>
      </c>
      <c r="H71">
        <v>3</v>
      </c>
      <c r="I71" t="s">
        <v>381</v>
      </c>
      <c r="J71" t="s">
        <v>3</v>
      </c>
      <c r="K71" t="s">
        <v>382</v>
      </c>
      <c r="L71">
        <v>1377</v>
      </c>
      <c r="N71">
        <v>1013</v>
      </c>
      <c r="O71" t="s">
        <v>196</v>
      </c>
      <c r="P71" t="s">
        <v>196</v>
      </c>
      <c r="Q71">
        <v>1</v>
      </c>
      <c r="X71">
        <v>0</v>
      </c>
      <c r="Y71">
        <v>0</v>
      </c>
      <c r="Z71">
        <v>0</v>
      </c>
      <c r="AA71">
        <v>0</v>
      </c>
      <c r="AB71">
        <v>0</v>
      </c>
      <c r="AC71">
        <v>1</v>
      </c>
      <c r="AD71">
        <v>0</v>
      </c>
      <c r="AE71">
        <v>0</v>
      </c>
      <c r="AF71" t="s">
        <v>3</v>
      </c>
      <c r="AG71">
        <v>0</v>
      </c>
      <c r="AH71">
        <v>3</v>
      </c>
      <c r="AI71">
        <v>-1</v>
      </c>
      <c r="AJ71" t="s">
        <v>3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ROW(Source!A90)</f>
        <v>90</v>
      </c>
      <c r="B72">
        <v>96555429</v>
      </c>
      <c r="C72">
        <v>96555423</v>
      </c>
      <c r="D72">
        <v>94402382</v>
      </c>
      <c r="E72">
        <v>1</v>
      </c>
      <c r="F72">
        <v>1</v>
      </c>
      <c r="G72">
        <v>1</v>
      </c>
      <c r="H72">
        <v>3</v>
      </c>
      <c r="I72" t="s">
        <v>355</v>
      </c>
      <c r="J72" t="s">
        <v>356</v>
      </c>
      <c r="K72" t="s">
        <v>357</v>
      </c>
      <c r="L72">
        <v>1348</v>
      </c>
      <c r="N72">
        <v>1009</v>
      </c>
      <c r="O72" t="s">
        <v>27</v>
      </c>
      <c r="P72" t="s">
        <v>27</v>
      </c>
      <c r="Q72">
        <v>1000</v>
      </c>
      <c r="X72">
        <v>1E-4</v>
      </c>
      <c r="Y72">
        <v>10315.01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1E-4</v>
      </c>
      <c r="AH72">
        <v>2</v>
      </c>
      <c r="AI72">
        <v>96555429</v>
      </c>
      <c r="AJ72">
        <v>71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ROW(Source!A90)</f>
        <v>90</v>
      </c>
      <c r="B73">
        <v>96555430</v>
      </c>
      <c r="C73">
        <v>96555423</v>
      </c>
      <c r="D73">
        <v>94391131</v>
      </c>
      <c r="E73">
        <v>56</v>
      </c>
      <c r="F73">
        <v>1</v>
      </c>
      <c r="G73">
        <v>1</v>
      </c>
      <c r="H73">
        <v>3</v>
      </c>
      <c r="I73" t="s">
        <v>383</v>
      </c>
      <c r="J73" t="s">
        <v>3</v>
      </c>
      <c r="K73" t="s">
        <v>384</v>
      </c>
      <c r="L73">
        <v>1327</v>
      </c>
      <c r="N73">
        <v>1005</v>
      </c>
      <c r="O73" t="s">
        <v>134</v>
      </c>
      <c r="P73" t="s">
        <v>134</v>
      </c>
      <c r="Q73">
        <v>1</v>
      </c>
      <c r="X73">
        <v>1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 t="s">
        <v>3</v>
      </c>
      <c r="AG73">
        <v>1</v>
      </c>
      <c r="AH73">
        <v>3</v>
      </c>
      <c r="AI73">
        <v>-1</v>
      </c>
      <c r="AJ73" t="s">
        <v>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ROW(Source!A90)</f>
        <v>90</v>
      </c>
      <c r="B74">
        <v>96555431</v>
      </c>
      <c r="C74">
        <v>96555423</v>
      </c>
      <c r="D74">
        <v>94421586</v>
      </c>
      <c r="E74">
        <v>1</v>
      </c>
      <c r="F74">
        <v>1</v>
      </c>
      <c r="G74">
        <v>1</v>
      </c>
      <c r="H74">
        <v>3</v>
      </c>
      <c r="I74" t="s">
        <v>358</v>
      </c>
      <c r="J74" t="s">
        <v>359</v>
      </c>
      <c r="K74" t="s">
        <v>360</v>
      </c>
      <c r="L74">
        <v>1348</v>
      </c>
      <c r="N74">
        <v>1009</v>
      </c>
      <c r="O74" t="s">
        <v>27</v>
      </c>
      <c r="P74" t="s">
        <v>27</v>
      </c>
      <c r="Q74">
        <v>1000</v>
      </c>
      <c r="X74">
        <v>3.0000000000000001E-3</v>
      </c>
      <c r="Y74">
        <v>5804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3.0000000000000001E-3</v>
      </c>
      <c r="AH74">
        <v>2</v>
      </c>
      <c r="AI74">
        <v>96555431</v>
      </c>
      <c r="AJ74">
        <v>72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ROW(Source!A90)</f>
        <v>90</v>
      </c>
      <c r="B75">
        <v>96555432</v>
      </c>
      <c r="C75">
        <v>96555423</v>
      </c>
      <c r="D75">
        <v>94433292</v>
      </c>
      <c r="E75">
        <v>1</v>
      </c>
      <c r="F75">
        <v>1</v>
      </c>
      <c r="G75">
        <v>1</v>
      </c>
      <c r="H75">
        <v>3</v>
      </c>
      <c r="I75" t="s">
        <v>361</v>
      </c>
      <c r="J75" t="s">
        <v>362</v>
      </c>
      <c r="K75" t="s">
        <v>363</v>
      </c>
      <c r="L75">
        <v>1371</v>
      </c>
      <c r="N75">
        <v>1013</v>
      </c>
      <c r="O75" t="s">
        <v>205</v>
      </c>
      <c r="P75" t="s">
        <v>205</v>
      </c>
      <c r="Q75">
        <v>1</v>
      </c>
      <c r="X75">
        <v>0.1</v>
      </c>
      <c r="Y75">
        <v>72.8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0.1</v>
      </c>
      <c r="AH75">
        <v>2</v>
      </c>
      <c r="AI75">
        <v>96555432</v>
      </c>
      <c r="AJ75">
        <v>74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ROW(Source!A93)</f>
        <v>93</v>
      </c>
      <c r="B76">
        <v>96555436</v>
      </c>
      <c r="C76">
        <v>96555435</v>
      </c>
      <c r="D76">
        <v>94389477</v>
      </c>
      <c r="E76">
        <v>56</v>
      </c>
      <c r="F76">
        <v>1</v>
      </c>
      <c r="G76">
        <v>1</v>
      </c>
      <c r="H76">
        <v>1</v>
      </c>
      <c r="I76" t="s">
        <v>350</v>
      </c>
      <c r="J76" t="s">
        <v>3</v>
      </c>
      <c r="K76" t="s">
        <v>351</v>
      </c>
      <c r="L76">
        <v>1191</v>
      </c>
      <c r="N76">
        <v>1013</v>
      </c>
      <c r="O76" t="s">
        <v>295</v>
      </c>
      <c r="P76" t="s">
        <v>295</v>
      </c>
      <c r="Q76">
        <v>1</v>
      </c>
      <c r="X76">
        <v>1.1100000000000001</v>
      </c>
      <c r="Y76">
        <v>0</v>
      </c>
      <c r="Z76">
        <v>0</v>
      </c>
      <c r="AA76">
        <v>0</v>
      </c>
      <c r="AB76">
        <v>9.92</v>
      </c>
      <c r="AC76">
        <v>0</v>
      </c>
      <c r="AD76">
        <v>1</v>
      </c>
      <c r="AE76">
        <v>1</v>
      </c>
      <c r="AF76" t="s">
        <v>125</v>
      </c>
      <c r="AG76">
        <v>1.2765</v>
      </c>
      <c r="AH76">
        <v>2</v>
      </c>
      <c r="AI76">
        <v>96555436</v>
      </c>
      <c r="AJ76">
        <v>75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ROW(Source!A93)</f>
        <v>93</v>
      </c>
      <c r="B77">
        <v>96555437</v>
      </c>
      <c r="C77">
        <v>96555435</v>
      </c>
      <c r="D77">
        <v>94551473</v>
      </c>
      <c r="E77">
        <v>1</v>
      </c>
      <c r="F77">
        <v>1</v>
      </c>
      <c r="G77">
        <v>1</v>
      </c>
      <c r="H77">
        <v>2</v>
      </c>
      <c r="I77" t="s">
        <v>352</v>
      </c>
      <c r="J77" t="s">
        <v>353</v>
      </c>
      <c r="K77" t="s">
        <v>354</v>
      </c>
      <c r="L77">
        <v>1368</v>
      </c>
      <c r="N77">
        <v>1011</v>
      </c>
      <c r="O77" t="s">
        <v>301</v>
      </c>
      <c r="P77" t="s">
        <v>301</v>
      </c>
      <c r="Q77">
        <v>1</v>
      </c>
      <c r="X77">
        <v>0.26</v>
      </c>
      <c r="Y77">
        <v>0</v>
      </c>
      <c r="Z77">
        <v>8.1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124</v>
      </c>
      <c r="AG77">
        <v>0.32500000000000001</v>
      </c>
      <c r="AH77">
        <v>2</v>
      </c>
      <c r="AI77">
        <v>96555437</v>
      </c>
      <c r="AJ77">
        <v>76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ROW(Source!A93)</f>
        <v>93</v>
      </c>
      <c r="B78">
        <v>96555438</v>
      </c>
      <c r="C78">
        <v>96555435</v>
      </c>
      <c r="D78">
        <v>94389733</v>
      </c>
      <c r="E78">
        <v>56</v>
      </c>
      <c r="F78">
        <v>1</v>
      </c>
      <c r="G78">
        <v>1</v>
      </c>
      <c r="H78">
        <v>3</v>
      </c>
      <c r="I78" t="s">
        <v>385</v>
      </c>
      <c r="J78" t="s">
        <v>3</v>
      </c>
      <c r="K78" t="s">
        <v>386</v>
      </c>
      <c r="L78">
        <v>1371</v>
      </c>
      <c r="N78">
        <v>1013</v>
      </c>
      <c r="O78" t="s">
        <v>205</v>
      </c>
      <c r="P78" t="s">
        <v>205</v>
      </c>
      <c r="Q78">
        <v>1</v>
      </c>
      <c r="X78">
        <v>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 t="s">
        <v>3</v>
      </c>
      <c r="AG78">
        <v>1</v>
      </c>
      <c r="AH78">
        <v>3</v>
      </c>
      <c r="AI78">
        <v>-1</v>
      </c>
      <c r="AJ78" t="s">
        <v>3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ROW(Source!A93)</f>
        <v>93</v>
      </c>
      <c r="B79">
        <v>96555439</v>
      </c>
      <c r="C79">
        <v>96555435</v>
      </c>
      <c r="D79">
        <v>94402382</v>
      </c>
      <c r="E79">
        <v>1</v>
      </c>
      <c r="F79">
        <v>1</v>
      </c>
      <c r="G79">
        <v>1</v>
      </c>
      <c r="H79">
        <v>3</v>
      </c>
      <c r="I79" t="s">
        <v>355</v>
      </c>
      <c r="J79" t="s">
        <v>356</v>
      </c>
      <c r="K79" t="s">
        <v>357</v>
      </c>
      <c r="L79">
        <v>1348</v>
      </c>
      <c r="N79">
        <v>1009</v>
      </c>
      <c r="O79" t="s">
        <v>27</v>
      </c>
      <c r="P79" t="s">
        <v>27</v>
      </c>
      <c r="Q79">
        <v>1000</v>
      </c>
      <c r="X79">
        <v>6.9999999999999994E-5</v>
      </c>
      <c r="Y79">
        <v>10315.01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6.9999999999999994E-5</v>
      </c>
      <c r="AH79">
        <v>2</v>
      </c>
      <c r="AI79">
        <v>96555439</v>
      </c>
      <c r="AJ79">
        <v>78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ROW(Source!A93)</f>
        <v>93</v>
      </c>
      <c r="B80">
        <v>96555440</v>
      </c>
      <c r="C80">
        <v>96555435</v>
      </c>
      <c r="D80">
        <v>94403574</v>
      </c>
      <c r="E80">
        <v>1</v>
      </c>
      <c r="F80">
        <v>1</v>
      </c>
      <c r="G80">
        <v>1</v>
      </c>
      <c r="H80">
        <v>3</v>
      </c>
      <c r="I80" t="s">
        <v>364</v>
      </c>
      <c r="J80" t="s">
        <v>365</v>
      </c>
      <c r="K80" t="s">
        <v>366</v>
      </c>
      <c r="L80">
        <v>1425</v>
      </c>
      <c r="N80">
        <v>1013</v>
      </c>
      <c r="O80" t="s">
        <v>36</v>
      </c>
      <c r="P80" t="s">
        <v>36</v>
      </c>
      <c r="Q80">
        <v>1</v>
      </c>
      <c r="X80">
        <v>0.08</v>
      </c>
      <c r="Y80">
        <v>20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0.08</v>
      </c>
      <c r="AH80">
        <v>2</v>
      </c>
      <c r="AI80">
        <v>96555440</v>
      </c>
      <c r="AJ80">
        <v>79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по ФЕР</vt:lpstr>
      <vt:lpstr>Source</vt:lpstr>
      <vt:lpstr>SourceObSm</vt:lpstr>
      <vt:lpstr>SmtRes</vt:lpstr>
      <vt:lpstr>EtalonRes</vt:lpstr>
      <vt:lpstr>'Смета 12 гр. по ФЕР'!Заголовки_для_печати</vt:lpstr>
      <vt:lpstr>'Смета 12 гр. по ФЕР'!Область_печати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Габро Василий Александрович</dc:creator>
  <cp:lastModifiedBy>Скрипников Александр Юрьевич</cp:lastModifiedBy>
  <cp:lastPrinted>2021-02-02T06:47:19Z</cp:lastPrinted>
  <dcterms:created xsi:type="dcterms:W3CDTF">2021-01-13T16:38:06Z</dcterms:created>
  <dcterms:modified xsi:type="dcterms:W3CDTF">2021-02-02T06:56:47Z</dcterms:modified>
</cp:coreProperties>
</file>